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6" windowHeight="8148"/>
  </bookViews>
  <sheets>
    <sheet name="бесплатно" sheetId="1" r:id="rId1"/>
    <sheet name="платно" sheetId="2" r:id="rId2"/>
  </sheets>
  <calcPr calcId="145621"/>
</workbook>
</file>

<file path=xl/calcChain.xml><?xml version="1.0" encoding="utf-8"?>
<calcChain xmlns="http://schemas.openxmlformats.org/spreadsheetml/2006/main">
  <c r="J36" i="1" l="1"/>
  <c r="I36" i="1"/>
  <c r="H36" i="1"/>
  <c r="G36" i="1"/>
  <c r="J19" i="2"/>
  <c r="I19" i="2"/>
  <c r="H19" i="2"/>
  <c r="G19" i="2"/>
  <c r="J42" i="1"/>
  <c r="J41" i="1"/>
  <c r="I42" i="1"/>
  <c r="I41" i="1"/>
  <c r="H42" i="1"/>
  <c r="H41" i="1"/>
  <c r="G42" i="1"/>
  <c r="G41" i="1"/>
  <c r="F24" i="2"/>
  <c r="F19" i="2"/>
  <c r="F26" i="2" l="1"/>
  <c r="F42" i="1"/>
  <c r="F36" i="1"/>
  <c r="J15" i="2" l="1"/>
  <c r="J24" i="2"/>
  <c r="J23" i="2"/>
  <c r="I24" i="2"/>
  <c r="I23" i="2"/>
  <c r="H24" i="2"/>
  <c r="H23" i="2"/>
  <c r="G24" i="2"/>
  <c r="G23" i="2"/>
  <c r="F25" i="2"/>
  <c r="G15" i="2"/>
  <c r="J16" i="2"/>
  <c r="I16" i="2"/>
  <c r="H16" i="2"/>
  <c r="G16" i="2"/>
  <c r="I15" i="2"/>
  <c r="H15" i="2"/>
  <c r="J12" i="2"/>
  <c r="I12" i="2"/>
  <c r="H12" i="2"/>
  <c r="G12" i="2"/>
  <c r="J9" i="2"/>
  <c r="I9" i="2"/>
  <c r="H9" i="2"/>
  <c r="G9" i="2"/>
  <c r="F18" i="2"/>
  <c r="F15" i="2"/>
  <c r="F12" i="2"/>
  <c r="F17" i="2"/>
  <c r="G7" i="2" l="1"/>
  <c r="J6" i="2"/>
  <c r="I6" i="2"/>
  <c r="H6" i="2"/>
  <c r="G6" i="2"/>
  <c r="F6" i="2"/>
  <c r="F4" i="2"/>
  <c r="F7" i="2"/>
  <c r="J34" i="1"/>
  <c r="I34" i="1"/>
  <c r="H34" i="1"/>
  <c r="G34" i="1"/>
  <c r="J30" i="1"/>
  <c r="I30" i="1"/>
  <c r="H30" i="1"/>
  <c r="G30" i="1"/>
  <c r="J29" i="1"/>
  <c r="I29" i="1"/>
  <c r="H29" i="1"/>
  <c r="G29" i="1"/>
  <c r="J10" i="2"/>
  <c r="I10" i="2"/>
  <c r="H10" i="2"/>
  <c r="G10" i="2"/>
  <c r="F10" i="2"/>
  <c r="J8" i="2"/>
  <c r="I8" i="2"/>
  <c r="H8" i="2"/>
  <c r="G8" i="2"/>
  <c r="J7" i="2"/>
  <c r="I7" i="2"/>
  <c r="H7" i="2"/>
  <c r="J4" i="2"/>
  <c r="J11" i="2" s="1"/>
  <c r="I4" i="2"/>
  <c r="I11" i="2" s="1"/>
  <c r="H4" i="2"/>
  <c r="G4" i="2"/>
  <c r="G11" i="2" s="1"/>
  <c r="F29" i="1"/>
  <c r="F31" i="1"/>
  <c r="F27" i="1"/>
  <c r="F28" i="1"/>
  <c r="F11" i="2" l="1"/>
  <c r="H11" i="2"/>
  <c r="F38" i="1"/>
  <c r="H43" i="1"/>
  <c r="I43" i="1"/>
  <c r="J43" i="1"/>
  <c r="F43" i="1"/>
  <c r="G43" i="1"/>
  <c r="H35" i="1"/>
  <c r="F35" i="1"/>
  <c r="J35" i="1"/>
  <c r="I35" i="1"/>
  <c r="G35" i="1"/>
  <c r="I32" i="1"/>
  <c r="J31" i="1"/>
  <c r="I31" i="1"/>
  <c r="H31" i="1"/>
  <c r="G31" i="1"/>
  <c r="J28" i="1"/>
  <c r="I28" i="1"/>
  <c r="H28" i="1"/>
  <c r="G28" i="1"/>
  <c r="F32" i="1"/>
  <c r="J25" i="1"/>
  <c r="J32" i="1" s="1"/>
  <c r="I25" i="1"/>
  <c r="H25" i="1"/>
  <c r="H32" i="1" s="1"/>
  <c r="G25" i="1"/>
  <c r="G32" i="1" s="1"/>
  <c r="J21" i="1"/>
  <c r="I21" i="1"/>
  <c r="H21" i="1"/>
  <c r="G21" i="1"/>
  <c r="J20" i="1"/>
  <c r="I20" i="1"/>
  <c r="H20" i="1"/>
  <c r="G20" i="1"/>
  <c r="J15" i="1"/>
  <c r="I15" i="1"/>
  <c r="H15" i="1"/>
  <c r="G15" i="1"/>
  <c r="J13" i="1"/>
  <c r="I13" i="1"/>
  <c r="H13" i="1"/>
  <c r="G13" i="1"/>
  <c r="J9" i="1"/>
  <c r="I9" i="1"/>
  <c r="H9" i="1"/>
  <c r="G9" i="1"/>
  <c r="J8" i="1"/>
  <c r="I8" i="1"/>
  <c r="H8" i="1"/>
  <c r="G8" i="1"/>
  <c r="J7" i="1"/>
  <c r="I7" i="1"/>
  <c r="H7" i="1"/>
  <c r="G7" i="1"/>
  <c r="J4" i="1"/>
  <c r="I4" i="1"/>
  <c r="H4" i="1"/>
  <c r="G4" i="1"/>
  <c r="F9" i="1"/>
  <c r="F7" i="1"/>
  <c r="F21" i="1"/>
  <c r="F20" i="1"/>
  <c r="F15" i="1"/>
  <c r="F6" i="1"/>
  <c r="F10" i="1"/>
  <c r="J26" i="2" l="1"/>
  <c r="J10" i="1"/>
  <c r="I10" i="1"/>
  <c r="H10" i="1"/>
  <c r="G10" i="1"/>
  <c r="H11" i="1"/>
  <c r="G11" i="1"/>
  <c r="G26" i="2" l="1"/>
  <c r="I26" i="2"/>
  <c r="H26" i="2"/>
  <c r="G14" i="1" l="1"/>
  <c r="J11" i="1"/>
  <c r="G22" i="1" l="1"/>
  <c r="F11" i="1"/>
  <c r="I11" i="1"/>
  <c r="J22" i="1"/>
  <c r="I22" i="1"/>
  <c r="H22" i="1"/>
  <c r="J14" i="1"/>
  <c r="I14" i="1"/>
  <c r="H14" i="1"/>
  <c r="F14" i="1" l="1"/>
  <c r="F22" i="1" l="1"/>
  <c r="H18" i="2" l="1"/>
  <c r="I18" i="2"/>
  <c r="J18" i="2"/>
  <c r="G18" i="2"/>
</calcChain>
</file>

<file path=xl/sharedStrings.xml><?xml version="1.0" encoding="utf-8"?>
<sst xmlns="http://schemas.openxmlformats.org/spreadsheetml/2006/main" count="195" uniqueCount="71">
  <si>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</si>
  <si>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</si>
  <si>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</si>
  <si>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</si>
  <si>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</si>
  <si>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</si>
  <si>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</si>
  <si>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</si>
  <si>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</si>
  <si>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</si>
  <si>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</si>
  <si>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</si>
  <si>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</si>
  <si>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</si>
  <si>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</si>
  <si>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</si>
  <si>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</si>
  <si>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</si>
  <si>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</si>
  <si>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</si>
  <si>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</si>
  <si>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</si>
  <si>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</si>
  <si>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</si>
  <si>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</si>
  <si>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</si>
  <si>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</si>
  <si>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</si>
  <si>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</si>
  <si>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</si>
  <si>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"___"_____2021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</si>
  <si>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</si>
  <si>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</si>
  <si>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</si>
  <si>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Сок</t>
  </si>
  <si>
    <t>гарнир</t>
  </si>
  <si>
    <t>150</t>
  </si>
  <si>
    <t>180</t>
  </si>
  <si>
    <t>35</t>
  </si>
  <si>
    <t>36</t>
  </si>
  <si>
    <t>Макаронные изделия с сыром</t>
  </si>
  <si>
    <t>Чай с молоком</t>
  </si>
  <si>
    <t>Икра кабачковая</t>
  </si>
  <si>
    <t>Масло сливочное</t>
  </si>
  <si>
    <t>добавки</t>
  </si>
  <si>
    <t>Пицца школьная</t>
  </si>
  <si>
    <t>Суп картофельный с мясными фрикадельками из говядины</t>
  </si>
  <si>
    <t>Котлеты рыбные</t>
  </si>
  <si>
    <t>Рис пропущеный с томатом</t>
  </si>
  <si>
    <t>Напиток из шиповника</t>
  </si>
  <si>
    <t>200</t>
  </si>
  <si>
    <t>Творожное печенье</t>
  </si>
  <si>
    <t>100</t>
  </si>
  <si>
    <t>90</t>
  </si>
  <si>
    <t>Кукуруза</t>
  </si>
  <si>
    <t>240/10</t>
  </si>
  <si>
    <t>27</t>
  </si>
  <si>
    <t>26</t>
  </si>
  <si>
    <t>170</t>
  </si>
  <si>
    <t>50</t>
  </si>
  <si>
    <t xml:space="preserve"> </t>
  </si>
  <si>
    <t>110</t>
  </si>
  <si>
    <t>Макаронник с мясом</t>
  </si>
  <si>
    <t>добавка</t>
  </si>
  <si>
    <t>Конфета "35"</t>
  </si>
  <si>
    <t>20</t>
  </si>
  <si>
    <t>34</t>
  </si>
  <si>
    <t>55</t>
  </si>
  <si>
    <t>46</t>
  </si>
  <si>
    <t>45</t>
  </si>
  <si>
    <t>МБОУ Зыковская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</si>
</sst>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4" xfId="0" applyNumberFormat="1" applyFont="1" applyFill="1" applyBorder="1" applyAlignment="1" applyProtection="1">
      <alignment horizontal="center"/>
      <protection locked="0"/>
    </xf>
    <xf numFmtId="2" fontId="8" fillId="0" borderId="18" xfId="0" applyNumberFormat="1" applyFont="1" applyFill="1" applyBorder="1" applyAlignment="1">
      <alignment horizontal="center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1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44"/>
  <sheetViews>
    <sheetView tabSelected="1" topLeftCell="A22" zoomScale="110" zoomScaleNormal="110" workbookViewId="0">
      <selection activeCell="B1" sqref="B1:D1"/>
    </sheetView>
  </sheetViews>
  <sheetFormatPr defaultRowHeight="14.4" x14ac:dyDescent="0.3"/>
  <cols>
    <col min="1" max="1" width="11.7773437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18" bestFit="1" customWidth="1"/>
    <col min="6" max="6" width="8.21875" style="18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8" customHeight="1" x14ac:dyDescent="0.3">
      <c r="A1" s="1" t="s">
        <v>0</v>
      </c>
      <c r="B1" s="107" t="s">
        <v>70</v>
      </c>
      <c r="C1" s="108"/>
      <c r="D1" s="109"/>
      <c r="E1" s="18" t="s">
        <v>28</v>
      </c>
      <c r="F1" s="17"/>
      <c r="H1" s="1" t="s">
        <v>1</v>
      </c>
      <c r="I1" s="16" t="s">
        <v>30</v>
      </c>
    </row>
    <row r="2" spans="1:10" ht="15" thickBot="1" x14ac:dyDescent="0.35">
      <c r="B2" s="2" t="s">
        <v>27</v>
      </c>
    </row>
    <row r="3" spans="1:10" s="23" customFormat="1" ht="29.4" thickBot="1" x14ac:dyDescent="0.35">
      <c r="A3" s="19" t="s">
        <v>2</v>
      </c>
      <c r="B3" s="20" t="s">
        <v>3</v>
      </c>
      <c r="C3" s="20" t="s">
        <v>20</v>
      </c>
      <c r="D3" s="20" t="s">
        <v>4</v>
      </c>
      <c r="E3" s="51" t="s">
        <v>21</v>
      </c>
      <c r="F3" s="51" t="s">
        <v>5</v>
      </c>
      <c r="G3" s="21" t="s">
        <v>6</v>
      </c>
      <c r="H3" s="20" t="s">
        <v>7</v>
      </c>
      <c r="I3" s="20" t="s">
        <v>8</v>
      </c>
      <c r="J3" s="22" t="s">
        <v>9</v>
      </c>
    </row>
    <row r="4" spans="1:10" ht="29.4" thickBot="1" x14ac:dyDescent="0.35">
      <c r="A4" s="3" t="s">
        <v>10</v>
      </c>
      <c r="B4" s="8" t="s">
        <v>11</v>
      </c>
      <c r="C4" s="59">
        <v>37</v>
      </c>
      <c r="D4" s="60" t="s">
        <v>40</v>
      </c>
      <c r="E4" s="52" t="s">
        <v>58</v>
      </c>
      <c r="F4" s="89">
        <v>17.12</v>
      </c>
      <c r="G4" s="5">
        <f>206.25*170/150</f>
        <v>233.75</v>
      </c>
      <c r="H4" s="5">
        <f>9.08*170/150</f>
        <v>10.290666666666667</v>
      </c>
      <c r="I4" s="5">
        <f>7.58*170/150</f>
        <v>8.5906666666666656</v>
      </c>
      <c r="J4" s="6">
        <f>25.5*170/150</f>
        <v>28.9</v>
      </c>
    </row>
    <row r="5" spans="1:10" ht="15.6" x14ac:dyDescent="0.3">
      <c r="A5" s="7"/>
      <c r="B5" s="32" t="s">
        <v>12</v>
      </c>
      <c r="C5" s="95">
        <v>20</v>
      </c>
      <c r="D5" s="96" t="s">
        <v>41</v>
      </c>
      <c r="E5" s="97" t="s">
        <v>50</v>
      </c>
      <c r="F5" s="98">
        <v>3.98</v>
      </c>
      <c r="G5" s="14">
        <v>70</v>
      </c>
      <c r="H5" s="14">
        <v>1.4</v>
      </c>
      <c r="I5" s="14">
        <v>1.6</v>
      </c>
      <c r="J5" s="45">
        <v>12.36</v>
      </c>
    </row>
    <row r="6" spans="1:10" ht="15.6" x14ac:dyDescent="0.3">
      <c r="A6" s="7"/>
      <c r="B6" s="110" t="s">
        <v>44</v>
      </c>
      <c r="C6" s="61">
        <v>27</v>
      </c>
      <c r="D6" s="62" t="s">
        <v>42</v>
      </c>
      <c r="E6" s="53">
        <v>60</v>
      </c>
      <c r="F6" s="86">
        <f>8.99</f>
        <v>8.99</v>
      </c>
      <c r="G6" s="9">
        <v>71.400000000000006</v>
      </c>
      <c r="H6" s="9">
        <v>1.1399999999999999</v>
      </c>
      <c r="I6" s="9">
        <v>5.34</v>
      </c>
      <c r="J6" s="10">
        <v>4.62</v>
      </c>
    </row>
    <row r="7" spans="1:10" ht="15.6" x14ac:dyDescent="0.3">
      <c r="A7" s="7"/>
      <c r="B7" s="111"/>
      <c r="C7" s="61">
        <v>3</v>
      </c>
      <c r="D7" s="62" t="s">
        <v>43</v>
      </c>
      <c r="E7" s="53">
        <v>15</v>
      </c>
      <c r="F7" s="86">
        <f>7.04*15/10</f>
        <v>10.559999999999999</v>
      </c>
      <c r="G7" s="9">
        <f>64.7*15/10</f>
        <v>97.05</v>
      </c>
      <c r="H7" s="9">
        <f>0.08*15/10</f>
        <v>0.12</v>
      </c>
      <c r="I7" s="9">
        <f>7.15*15/10</f>
        <v>10.725</v>
      </c>
      <c r="J7" s="10">
        <f>0.12*15/10</f>
        <v>0.18</v>
      </c>
    </row>
    <row r="8" spans="1:10" ht="15.6" x14ac:dyDescent="0.3">
      <c r="A8" s="7"/>
      <c r="B8" s="39" t="s">
        <v>18</v>
      </c>
      <c r="C8" s="61" t="s">
        <v>22</v>
      </c>
      <c r="D8" s="62" t="s">
        <v>23</v>
      </c>
      <c r="E8" s="53">
        <v>35</v>
      </c>
      <c r="F8" s="86">
        <v>1.55</v>
      </c>
      <c r="G8" s="9">
        <f>40*35/20</f>
        <v>70</v>
      </c>
      <c r="H8" s="9">
        <f>0.98*35/20</f>
        <v>1.7149999999999999</v>
      </c>
      <c r="I8" s="9">
        <f>0.2*35/20</f>
        <v>0.35</v>
      </c>
      <c r="J8" s="10">
        <f>8.95*35/20</f>
        <v>15.6625</v>
      </c>
    </row>
    <row r="9" spans="1:10" ht="15.6" x14ac:dyDescent="0.3">
      <c r="A9" s="7"/>
      <c r="B9" s="69"/>
      <c r="C9" s="61" t="s">
        <v>22</v>
      </c>
      <c r="D9" s="62" t="s">
        <v>26</v>
      </c>
      <c r="E9" s="53">
        <v>35</v>
      </c>
      <c r="F9" s="86">
        <f>58.5*0.035</f>
        <v>2.0475000000000003</v>
      </c>
      <c r="G9" s="9">
        <f>41.6*35/20</f>
        <v>72.8</v>
      </c>
      <c r="H9" s="9">
        <f>1.6*35/20</f>
        <v>2.8</v>
      </c>
      <c r="I9" s="9">
        <f>0.03*35/20</f>
        <v>5.2500000000000005E-2</v>
      </c>
      <c r="J9" s="10">
        <f>8.02*35/20</f>
        <v>14.035</v>
      </c>
    </row>
    <row r="10" spans="1:10" ht="15.6" x14ac:dyDescent="0.3">
      <c r="A10" s="7"/>
      <c r="B10" s="85"/>
      <c r="C10" s="94" t="s">
        <v>22</v>
      </c>
      <c r="D10" s="62" t="s">
        <v>51</v>
      </c>
      <c r="E10" s="53">
        <v>38</v>
      </c>
      <c r="F10" s="86">
        <f>114.6*0.038</f>
        <v>4.3548</v>
      </c>
      <c r="G10" s="9">
        <f>63.56*40/20</f>
        <v>127.12</v>
      </c>
      <c r="H10" s="9">
        <f>1.07*40/20</f>
        <v>2.14</v>
      </c>
      <c r="I10" s="9">
        <f>1.4*40/20</f>
        <v>2.8</v>
      </c>
      <c r="J10" s="10">
        <f>11.67*40/20</f>
        <v>23.34</v>
      </c>
    </row>
    <row r="11" spans="1:10" ht="16.2" thickBot="1" x14ac:dyDescent="0.35">
      <c r="A11" s="74"/>
      <c r="B11" s="75"/>
      <c r="C11" s="76"/>
      <c r="D11" s="77"/>
      <c r="E11" s="78"/>
      <c r="F11" s="90">
        <f>SUM(F4:F10)</f>
        <v>48.6023</v>
      </c>
      <c r="G11" s="79">
        <f>SUM(G4:G10)</f>
        <v>742.12</v>
      </c>
      <c r="H11" s="79">
        <f>SUM(H4:H10)</f>
        <v>19.605666666666668</v>
      </c>
      <c r="I11" s="79">
        <f>SUM(I4:I10)</f>
        <v>29.458166666666664</v>
      </c>
      <c r="J11" s="79">
        <f>SUM(J4:J10)</f>
        <v>99.097499999999997</v>
      </c>
    </row>
    <row r="12" spans="1:10" ht="15.6" x14ac:dyDescent="0.3">
      <c r="A12" s="3" t="s">
        <v>24</v>
      </c>
      <c r="B12" s="4"/>
      <c r="C12" s="63">
        <v>25</v>
      </c>
      <c r="D12" s="64" t="s">
        <v>34</v>
      </c>
      <c r="E12" s="54">
        <v>200</v>
      </c>
      <c r="F12" s="89">
        <v>10.55</v>
      </c>
      <c r="G12" s="5">
        <v>136</v>
      </c>
      <c r="H12" s="5">
        <v>0.6</v>
      </c>
      <c r="I12" s="5">
        <v>0</v>
      </c>
      <c r="J12" s="6">
        <v>33</v>
      </c>
    </row>
    <row r="13" spans="1:10" ht="15.6" x14ac:dyDescent="0.3">
      <c r="A13" s="7"/>
      <c r="B13" s="11"/>
      <c r="C13" s="65">
        <v>56</v>
      </c>
      <c r="D13" s="66" t="s">
        <v>45</v>
      </c>
      <c r="E13" s="55" t="s">
        <v>53</v>
      </c>
      <c r="F13" s="86">
        <v>25.89</v>
      </c>
      <c r="G13" s="9">
        <f>245*90/100</f>
        <v>220.5</v>
      </c>
      <c r="H13" s="9">
        <f>12.45*90/100</f>
        <v>11.205</v>
      </c>
      <c r="I13" s="9">
        <f>8.59*90/100</f>
        <v>7.7309999999999999</v>
      </c>
      <c r="J13" s="10">
        <f>6.33*90/100</f>
        <v>5.6970000000000001</v>
      </c>
    </row>
    <row r="14" spans="1:10" ht="16.2" thickBot="1" x14ac:dyDescent="0.35">
      <c r="A14" s="70"/>
      <c r="B14" s="47"/>
      <c r="C14" s="71"/>
      <c r="D14" s="72"/>
      <c r="E14" s="73"/>
      <c r="F14" s="91">
        <f>SUM(F12:F13)</f>
        <v>36.44</v>
      </c>
      <c r="G14" s="87">
        <f>SUM(G12:G13)</f>
        <v>356.5</v>
      </c>
      <c r="H14" s="87">
        <f t="shared" ref="H14:J14" si="0">SUM(H12:H13)</f>
        <v>11.805</v>
      </c>
      <c r="I14" s="87">
        <f t="shared" si="0"/>
        <v>7.7309999999999999</v>
      </c>
      <c r="J14" s="88">
        <f t="shared" si="0"/>
        <v>38.697000000000003</v>
      </c>
    </row>
    <row r="15" spans="1:10" ht="15.6" x14ac:dyDescent="0.3">
      <c r="A15" s="3" t="s">
        <v>13</v>
      </c>
      <c r="B15" s="4" t="s">
        <v>14</v>
      </c>
      <c r="C15" s="63">
        <v>1</v>
      </c>
      <c r="D15" s="64" t="s">
        <v>54</v>
      </c>
      <c r="E15" s="52" t="s">
        <v>38</v>
      </c>
      <c r="F15" s="89">
        <f>16.2*35/60</f>
        <v>9.4499999999999993</v>
      </c>
      <c r="G15" s="5">
        <f>24*35/60</f>
        <v>14</v>
      </c>
      <c r="H15" s="5">
        <f>1.86*35/60</f>
        <v>1.0850000000000002</v>
      </c>
      <c r="I15" s="5">
        <f>0.12*35/60</f>
        <v>7.0000000000000007E-2</v>
      </c>
      <c r="J15" s="6">
        <f>3.9*35/60</f>
        <v>2.2749999999999999</v>
      </c>
    </row>
    <row r="16" spans="1:10" ht="43.2" x14ac:dyDescent="0.3">
      <c r="A16" s="7"/>
      <c r="B16" s="8" t="s">
        <v>15</v>
      </c>
      <c r="C16" s="65">
        <v>49</v>
      </c>
      <c r="D16" s="66" t="s">
        <v>46</v>
      </c>
      <c r="E16" s="55" t="s">
        <v>55</v>
      </c>
      <c r="F16" s="86">
        <v>10.67</v>
      </c>
      <c r="G16" s="9">
        <v>123</v>
      </c>
      <c r="H16" s="9">
        <v>2.23</v>
      </c>
      <c r="I16" s="9">
        <v>5.0599999999999996</v>
      </c>
      <c r="J16" s="10">
        <v>13.48</v>
      </c>
    </row>
    <row r="17" spans="1:10" ht="15.6" x14ac:dyDescent="0.3">
      <c r="A17" s="7"/>
      <c r="B17" s="8" t="s">
        <v>16</v>
      </c>
      <c r="C17" s="65">
        <v>23</v>
      </c>
      <c r="D17" s="66" t="s">
        <v>47</v>
      </c>
      <c r="E17" s="55" t="s">
        <v>53</v>
      </c>
      <c r="F17" s="86">
        <v>33.200000000000003</v>
      </c>
      <c r="G17" s="9">
        <v>103</v>
      </c>
      <c r="H17" s="9">
        <v>12.92</v>
      </c>
      <c r="I17" s="9">
        <v>2.2799999999999998</v>
      </c>
      <c r="J17" s="10">
        <v>8.31</v>
      </c>
    </row>
    <row r="18" spans="1:10" ht="28.8" x14ac:dyDescent="0.3">
      <c r="A18" s="7"/>
      <c r="B18" s="8" t="s">
        <v>35</v>
      </c>
      <c r="C18" s="65">
        <v>45</v>
      </c>
      <c r="D18" s="66" t="s">
        <v>48</v>
      </c>
      <c r="E18" s="55" t="s">
        <v>36</v>
      </c>
      <c r="F18" s="86">
        <v>9.81</v>
      </c>
      <c r="G18" s="9">
        <v>204.3</v>
      </c>
      <c r="H18" s="9">
        <v>3.86</v>
      </c>
      <c r="I18" s="9">
        <v>6.06</v>
      </c>
      <c r="J18" s="10">
        <v>33.6</v>
      </c>
    </row>
    <row r="19" spans="1:10" ht="15.6" x14ac:dyDescent="0.3">
      <c r="A19" s="7"/>
      <c r="B19" s="8" t="s">
        <v>25</v>
      </c>
      <c r="C19" s="65">
        <v>35</v>
      </c>
      <c r="D19" s="66" t="s">
        <v>49</v>
      </c>
      <c r="E19" s="55">
        <v>200</v>
      </c>
      <c r="F19" s="86">
        <v>7.02</v>
      </c>
      <c r="G19" s="9">
        <v>97</v>
      </c>
      <c r="H19" s="9">
        <v>0.68</v>
      </c>
      <c r="I19" s="9">
        <v>0.28000000000000003</v>
      </c>
      <c r="J19" s="10">
        <v>19.64</v>
      </c>
    </row>
    <row r="20" spans="1:10" ht="15.6" x14ac:dyDescent="0.3">
      <c r="A20" s="7"/>
      <c r="B20" s="8" t="s">
        <v>19</v>
      </c>
      <c r="C20" s="65" t="s">
        <v>22</v>
      </c>
      <c r="D20" s="66" t="s">
        <v>26</v>
      </c>
      <c r="E20" s="55" t="s">
        <v>56</v>
      </c>
      <c r="F20" s="86">
        <f>58.5*0.027</f>
        <v>1.5794999999999999</v>
      </c>
      <c r="G20" s="9">
        <f>62.4*27/30</f>
        <v>56.16</v>
      </c>
      <c r="H20" s="9">
        <f>2.4*27/30</f>
        <v>2.1599999999999997</v>
      </c>
      <c r="I20" s="9">
        <f>0.45*27/30</f>
        <v>0.40500000000000003</v>
      </c>
      <c r="J20" s="10">
        <f>11.37*27/30</f>
        <v>10.232999999999999</v>
      </c>
    </row>
    <row r="21" spans="1:10" ht="15.6" x14ac:dyDescent="0.3">
      <c r="A21" s="7"/>
      <c r="B21" s="15" t="s">
        <v>17</v>
      </c>
      <c r="C21" s="67" t="s">
        <v>22</v>
      </c>
      <c r="D21" s="68" t="s">
        <v>23</v>
      </c>
      <c r="E21" s="56" t="s">
        <v>57</v>
      </c>
      <c r="F21" s="92">
        <f>45.14*0.026</f>
        <v>1.17364</v>
      </c>
      <c r="G21" s="12">
        <f>60*26/30</f>
        <v>52</v>
      </c>
      <c r="H21" s="12">
        <f>1.47*26/30</f>
        <v>1.274</v>
      </c>
      <c r="I21" s="12">
        <f>0.3*26/30</f>
        <v>0.26</v>
      </c>
      <c r="J21" s="13">
        <f>13.44*26/30</f>
        <v>11.648</v>
      </c>
    </row>
    <row r="22" spans="1:10" ht="16.2" thickBot="1" x14ac:dyDescent="0.35">
      <c r="A22" s="46"/>
      <c r="B22" s="47"/>
      <c r="C22" s="48"/>
      <c r="D22" s="48"/>
      <c r="E22" s="58"/>
      <c r="F22" s="93">
        <f>SUM(F15:F21)</f>
        <v>72.903140000000008</v>
      </c>
      <c r="G22" s="49">
        <f>SUM(G15:G21)</f>
        <v>649.45999999999992</v>
      </c>
      <c r="H22" s="49">
        <f>SUM(H15:H21)</f>
        <v>24.209</v>
      </c>
      <c r="I22" s="49">
        <f>SUM(I15:I21)</f>
        <v>14.414999999999997</v>
      </c>
      <c r="J22" s="50">
        <f>SUM(J15:J21)</f>
        <v>99.186000000000007</v>
      </c>
    </row>
    <row r="23" spans="1:10" ht="16.2" thickBot="1" x14ac:dyDescent="0.35">
      <c r="B23" s="2" t="s">
        <v>29</v>
      </c>
      <c r="E23" s="57"/>
      <c r="F23" s="57"/>
    </row>
    <row r="24" spans="1:10" ht="29.4" thickBot="1" x14ac:dyDescent="0.35">
      <c r="A24" s="19" t="s">
        <v>2</v>
      </c>
      <c r="B24" s="20" t="s">
        <v>3</v>
      </c>
      <c r="C24" s="20" t="s">
        <v>20</v>
      </c>
      <c r="D24" s="20" t="s">
        <v>4</v>
      </c>
      <c r="E24" s="51" t="s">
        <v>21</v>
      </c>
      <c r="F24" s="51" t="s">
        <v>5</v>
      </c>
      <c r="G24" s="21" t="s">
        <v>6</v>
      </c>
      <c r="H24" s="20" t="s">
        <v>7</v>
      </c>
      <c r="I24" s="20" t="s">
        <v>8</v>
      </c>
      <c r="J24" s="22" t="s">
        <v>9</v>
      </c>
    </row>
    <row r="25" spans="1:10" ht="29.4" thickBot="1" x14ac:dyDescent="0.35">
      <c r="A25" s="3" t="s">
        <v>10</v>
      </c>
      <c r="B25" s="8" t="s">
        <v>35</v>
      </c>
      <c r="C25" s="59">
        <v>37</v>
      </c>
      <c r="D25" s="60" t="s">
        <v>40</v>
      </c>
      <c r="E25" s="52" t="s">
        <v>50</v>
      </c>
      <c r="F25" s="89">
        <v>19.489999999999998</v>
      </c>
      <c r="G25" s="5">
        <f>206.25*170/150</f>
        <v>233.75</v>
      </c>
      <c r="H25" s="5">
        <f>9.08*170/150</f>
        <v>10.290666666666667</v>
      </c>
      <c r="I25" s="5">
        <f>7.58*170/150</f>
        <v>8.5906666666666656</v>
      </c>
      <c r="J25" s="6">
        <f>25.5*170/150</f>
        <v>28.9</v>
      </c>
    </row>
    <row r="26" spans="1:10" ht="15.6" x14ac:dyDescent="0.3">
      <c r="A26" s="7"/>
      <c r="B26" s="32" t="s">
        <v>12</v>
      </c>
      <c r="C26" s="95">
        <v>20</v>
      </c>
      <c r="D26" s="96" t="s">
        <v>41</v>
      </c>
      <c r="E26" s="97" t="s">
        <v>50</v>
      </c>
      <c r="F26" s="98">
        <v>3.98</v>
      </c>
      <c r="G26" s="14">
        <v>70</v>
      </c>
      <c r="H26" s="14">
        <v>1.4</v>
      </c>
      <c r="I26" s="14">
        <v>1.6</v>
      </c>
      <c r="J26" s="45">
        <v>12.36</v>
      </c>
    </row>
    <row r="27" spans="1:10" ht="15.6" x14ac:dyDescent="0.3">
      <c r="A27" s="7"/>
      <c r="B27" s="110" t="s">
        <v>44</v>
      </c>
      <c r="C27" s="61">
        <v>27</v>
      </c>
      <c r="D27" s="62" t="s">
        <v>42</v>
      </c>
      <c r="E27" s="53">
        <v>95</v>
      </c>
      <c r="F27" s="86">
        <f>14.89*95/100</f>
        <v>14.1455</v>
      </c>
      <c r="G27" s="9">
        <v>71.400000000000006</v>
      </c>
      <c r="H27" s="9">
        <v>1.1399999999999999</v>
      </c>
      <c r="I27" s="9">
        <v>5.34</v>
      </c>
      <c r="J27" s="10">
        <v>4.62</v>
      </c>
    </row>
    <row r="28" spans="1:10" ht="15.6" x14ac:dyDescent="0.3">
      <c r="A28" s="7"/>
      <c r="B28" s="111"/>
      <c r="C28" s="61">
        <v>3</v>
      </c>
      <c r="D28" s="62" t="s">
        <v>43</v>
      </c>
      <c r="E28" s="53">
        <v>15</v>
      </c>
      <c r="F28" s="86">
        <f>7.04*15/10</f>
        <v>10.559999999999999</v>
      </c>
      <c r="G28" s="9">
        <f>64.7*15/10</f>
        <v>97.05</v>
      </c>
      <c r="H28" s="9">
        <f>0.08*15/10</f>
        <v>0.12</v>
      </c>
      <c r="I28" s="9">
        <f>7.15*15/10</f>
        <v>10.725</v>
      </c>
      <c r="J28" s="10">
        <f>0.12*15/10</f>
        <v>0.18</v>
      </c>
    </row>
    <row r="29" spans="1:10" ht="15.6" x14ac:dyDescent="0.3">
      <c r="A29" s="7"/>
      <c r="B29" s="39" t="s">
        <v>18</v>
      </c>
      <c r="C29" s="61" t="s">
        <v>22</v>
      </c>
      <c r="D29" s="62" t="s">
        <v>23</v>
      </c>
      <c r="E29" s="53">
        <v>38</v>
      </c>
      <c r="F29" s="86">
        <f>45.14*0.038</f>
        <v>1.71532</v>
      </c>
      <c r="G29" s="9">
        <f>40*38/20</f>
        <v>76</v>
      </c>
      <c r="H29" s="9">
        <f>0.98*38/20</f>
        <v>1.8620000000000001</v>
      </c>
      <c r="I29" s="9">
        <f>0.2*38/20</f>
        <v>0.38</v>
      </c>
      <c r="J29" s="10">
        <f>8.95*38/20</f>
        <v>17.004999999999999</v>
      </c>
    </row>
    <row r="30" spans="1:10" ht="15.6" x14ac:dyDescent="0.3">
      <c r="A30" s="7"/>
      <c r="B30" s="69"/>
      <c r="C30" s="61" t="s">
        <v>22</v>
      </c>
      <c r="D30" s="62" t="s">
        <v>26</v>
      </c>
      <c r="E30" s="53">
        <v>39</v>
      </c>
      <c r="F30" s="86">
        <v>2.25</v>
      </c>
      <c r="G30" s="9">
        <f>41.6*39/20</f>
        <v>81.12</v>
      </c>
      <c r="H30" s="9">
        <f>1.6*39/20</f>
        <v>3.12</v>
      </c>
      <c r="I30" s="9">
        <f>0.03*39/20</f>
        <v>5.8499999999999996E-2</v>
      </c>
      <c r="J30" s="10">
        <f>8.02*39/20</f>
        <v>15.638999999999999</v>
      </c>
    </row>
    <row r="31" spans="1:10" ht="15.6" x14ac:dyDescent="0.3">
      <c r="A31" s="7"/>
      <c r="B31" s="85"/>
      <c r="C31" s="94" t="s">
        <v>22</v>
      </c>
      <c r="D31" s="62" t="s">
        <v>51</v>
      </c>
      <c r="E31" s="53">
        <v>38</v>
      </c>
      <c r="F31" s="86">
        <f>114.6*0.038</f>
        <v>4.3548</v>
      </c>
      <c r="G31" s="9">
        <f>63.56*40/20</f>
        <v>127.12</v>
      </c>
      <c r="H31" s="9">
        <f>1.07*40/20</f>
        <v>2.14</v>
      </c>
      <c r="I31" s="9">
        <f>1.4*40/20</f>
        <v>2.8</v>
      </c>
      <c r="J31" s="10">
        <f>11.67*40/20</f>
        <v>23.34</v>
      </c>
    </row>
    <row r="32" spans="1:10" ht="16.2" thickBot="1" x14ac:dyDescent="0.35">
      <c r="A32" s="74"/>
      <c r="B32" s="75"/>
      <c r="C32" s="76"/>
      <c r="D32" s="77"/>
      <c r="E32" s="78"/>
      <c r="F32" s="90">
        <f>SUM(F25:F31)</f>
        <v>56.495619999999995</v>
      </c>
      <c r="G32" s="79">
        <f>SUM(G25:G31)</f>
        <v>756.44</v>
      </c>
      <c r="H32" s="79">
        <f>SUM(H25:H31)</f>
        <v>20.072666666666667</v>
      </c>
      <c r="I32" s="79">
        <f>SUM(I25:I31)</f>
        <v>29.494166666666661</v>
      </c>
      <c r="J32" s="79">
        <f>SUM(J25:J31)</f>
        <v>102.044</v>
      </c>
    </row>
    <row r="33" spans="1:13" ht="15.6" x14ac:dyDescent="0.3">
      <c r="A33" s="3" t="s">
        <v>24</v>
      </c>
      <c r="B33" s="4"/>
      <c r="C33" s="63">
        <v>25</v>
      </c>
      <c r="D33" s="64" t="s">
        <v>34</v>
      </c>
      <c r="E33" s="54">
        <v>200</v>
      </c>
      <c r="F33" s="89">
        <v>10.55</v>
      </c>
      <c r="G33" s="5">
        <v>136</v>
      </c>
      <c r="H33" s="5">
        <v>0.6</v>
      </c>
      <c r="I33" s="5">
        <v>0</v>
      </c>
      <c r="J33" s="6">
        <v>33</v>
      </c>
    </row>
    <row r="34" spans="1:13" ht="15.6" x14ac:dyDescent="0.3">
      <c r="A34" s="7"/>
      <c r="B34" s="11"/>
      <c r="C34" s="65">
        <v>56</v>
      </c>
      <c r="D34" s="66" t="s">
        <v>45</v>
      </c>
      <c r="E34" s="55" t="s">
        <v>61</v>
      </c>
      <c r="F34" s="86">
        <v>31.81</v>
      </c>
      <c r="G34" s="9">
        <f>245*110/100</f>
        <v>269.5</v>
      </c>
      <c r="H34" s="9">
        <f>12.45*110/100</f>
        <v>13.695</v>
      </c>
      <c r="I34" s="9">
        <f>8.59*110/100</f>
        <v>9.4489999999999998</v>
      </c>
      <c r="J34" s="10">
        <f>6.33*110/100</f>
        <v>6.9629999999999992</v>
      </c>
    </row>
    <row r="35" spans="1:13" ht="16.2" thickBot="1" x14ac:dyDescent="0.35">
      <c r="A35" s="70"/>
      <c r="B35" s="47"/>
      <c r="C35" s="71"/>
      <c r="D35" s="72"/>
      <c r="E35" s="73"/>
      <c r="F35" s="91">
        <f>SUM(F33:F34)</f>
        <v>42.36</v>
      </c>
      <c r="G35" s="87">
        <f>SUM(G33:G34)</f>
        <v>405.5</v>
      </c>
      <c r="H35" s="87">
        <f t="shared" ref="H35:J35" si="1">SUM(H33:H34)</f>
        <v>14.295</v>
      </c>
      <c r="I35" s="87">
        <f t="shared" si="1"/>
        <v>9.4489999999999998</v>
      </c>
      <c r="J35" s="88">
        <f t="shared" si="1"/>
        <v>39.963000000000001</v>
      </c>
    </row>
    <row r="36" spans="1:13" ht="15.6" x14ac:dyDescent="0.3">
      <c r="A36" s="3" t="s">
        <v>13</v>
      </c>
      <c r="B36" s="4" t="s">
        <v>14</v>
      </c>
      <c r="C36" s="63">
        <v>1</v>
      </c>
      <c r="D36" s="64" t="s">
        <v>54</v>
      </c>
      <c r="E36" s="52" t="s">
        <v>67</v>
      </c>
      <c r="F36" s="89">
        <f>27*55/100</f>
        <v>14.85</v>
      </c>
      <c r="G36" s="5">
        <f>40*55/100</f>
        <v>22</v>
      </c>
      <c r="H36" s="5">
        <f>3.1*55/100</f>
        <v>1.7050000000000001</v>
      </c>
      <c r="I36" s="5">
        <f>0.2*55/100</f>
        <v>0.11</v>
      </c>
      <c r="J36" s="6">
        <f>6.5*55/100</f>
        <v>3.5750000000000002</v>
      </c>
    </row>
    <row r="37" spans="1:13" ht="43.2" x14ac:dyDescent="0.3">
      <c r="A37" s="7"/>
      <c r="B37" s="8" t="s">
        <v>15</v>
      </c>
      <c r="C37" s="65">
        <v>49</v>
      </c>
      <c r="D37" s="66" t="s">
        <v>46</v>
      </c>
      <c r="E37" s="55" t="s">
        <v>55</v>
      </c>
      <c r="F37" s="86">
        <v>10.67</v>
      </c>
      <c r="G37" s="9">
        <v>123</v>
      </c>
      <c r="H37" s="9">
        <v>2.23</v>
      </c>
      <c r="I37" s="9">
        <v>5.0599999999999996</v>
      </c>
      <c r="J37" s="10">
        <v>13.48</v>
      </c>
      <c r="M37" s="1" t="s">
        <v>60</v>
      </c>
    </row>
    <row r="38" spans="1:13" ht="15.6" x14ac:dyDescent="0.3">
      <c r="A38" s="7"/>
      <c r="B38" s="8" t="s">
        <v>16</v>
      </c>
      <c r="C38" s="65">
        <v>23</v>
      </c>
      <c r="D38" s="66" t="s">
        <v>47</v>
      </c>
      <c r="E38" s="55" t="s">
        <v>52</v>
      </c>
      <c r="F38" s="86">
        <f>44.53*100/120</f>
        <v>37.108333333333334</v>
      </c>
      <c r="G38" s="9">
        <v>137.33000000000001</v>
      </c>
      <c r="H38" s="9">
        <v>17.23</v>
      </c>
      <c r="I38" s="9">
        <v>3.04</v>
      </c>
      <c r="J38" s="10">
        <v>11.08</v>
      </c>
    </row>
    <row r="39" spans="1:13" ht="28.8" x14ac:dyDescent="0.3">
      <c r="A39" s="7"/>
      <c r="B39" s="8" t="s">
        <v>35</v>
      </c>
      <c r="C39" s="65">
        <v>45</v>
      </c>
      <c r="D39" s="66" t="s">
        <v>48</v>
      </c>
      <c r="E39" s="55" t="s">
        <v>37</v>
      </c>
      <c r="F39" s="86">
        <v>11.54</v>
      </c>
      <c r="G39" s="9">
        <v>245.16</v>
      </c>
      <c r="H39" s="9">
        <v>4.63</v>
      </c>
      <c r="I39" s="9">
        <v>7.27</v>
      </c>
      <c r="J39" s="10">
        <v>40.32</v>
      </c>
    </row>
    <row r="40" spans="1:13" ht="15.6" x14ac:dyDescent="0.3">
      <c r="A40" s="7"/>
      <c r="B40" s="8" t="s">
        <v>25</v>
      </c>
      <c r="C40" s="65">
        <v>35</v>
      </c>
      <c r="D40" s="66" t="s">
        <v>49</v>
      </c>
      <c r="E40" s="55">
        <v>200</v>
      </c>
      <c r="F40" s="86">
        <v>7.02</v>
      </c>
      <c r="G40" s="9">
        <v>97</v>
      </c>
      <c r="H40" s="9">
        <v>0.68</v>
      </c>
      <c r="I40" s="9">
        <v>0.28000000000000003</v>
      </c>
      <c r="J40" s="10">
        <v>19.64</v>
      </c>
    </row>
    <row r="41" spans="1:13" ht="15.6" x14ac:dyDescent="0.3">
      <c r="A41" s="7"/>
      <c r="B41" s="8" t="s">
        <v>19</v>
      </c>
      <c r="C41" s="65" t="s">
        <v>22</v>
      </c>
      <c r="D41" s="66" t="s">
        <v>26</v>
      </c>
      <c r="E41" s="55" t="s">
        <v>38</v>
      </c>
      <c r="F41" s="86">
        <v>2</v>
      </c>
      <c r="G41" s="9">
        <f>62.4*35/30</f>
        <v>72.8</v>
      </c>
      <c r="H41" s="9">
        <f>2.4*35/30</f>
        <v>2.8</v>
      </c>
      <c r="I41" s="9">
        <f>0.45*35/30</f>
        <v>0.52500000000000002</v>
      </c>
      <c r="J41" s="10">
        <f>11.37*35/30</f>
        <v>13.264999999999999</v>
      </c>
    </row>
    <row r="42" spans="1:13" ht="15.6" x14ac:dyDescent="0.3">
      <c r="A42" s="7"/>
      <c r="B42" s="15" t="s">
        <v>17</v>
      </c>
      <c r="C42" s="67" t="s">
        <v>22</v>
      </c>
      <c r="D42" s="68" t="s">
        <v>23</v>
      </c>
      <c r="E42" s="56" t="s">
        <v>66</v>
      </c>
      <c r="F42" s="92">
        <f>45.14*0.034</f>
        <v>1.5347600000000001</v>
      </c>
      <c r="G42" s="12">
        <f>60*34/30</f>
        <v>68</v>
      </c>
      <c r="H42" s="12">
        <f>1.47*34/30</f>
        <v>1.6659999999999999</v>
      </c>
      <c r="I42" s="12">
        <f>0.3*34/30</f>
        <v>0.33999999999999997</v>
      </c>
      <c r="J42" s="13">
        <f>13.44*34/30</f>
        <v>15.231999999999999</v>
      </c>
    </row>
    <row r="43" spans="1:13" s="25" customFormat="1" ht="16.2" thickBot="1" x14ac:dyDescent="0.35">
      <c r="A43" s="46"/>
      <c r="B43" s="47"/>
      <c r="C43" s="48"/>
      <c r="D43" s="48"/>
      <c r="E43" s="58"/>
      <c r="F43" s="93">
        <f>SUM(F36:F42)</f>
        <v>84.723093333333324</v>
      </c>
      <c r="G43" s="49">
        <f>SUM(G36:G42)</f>
        <v>765.29</v>
      </c>
      <c r="H43" s="49">
        <f>SUM(H36:H42)</f>
        <v>30.940999999999999</v>
      </c>
      <c r="I43" s="49">
        <f>SUM(I36:I42)</f>
        <v>16.625</v>
      </c>
      <c r="J43" s="50">
        <f>SUM(J36:J42)</f>
        <v>116.592</v>
      </c>
    </row>
    <row r="44" spans="1:13" x14ac:dyDescent="0.3">
      <c r="A44" s="24" t="s">
        <v>32</v>
      </c>
    </row>
  </sheetData>
  <mergeCells count="3">
    <mergeCell ref="B1:D1"/>
    <mergeCell ref="B6:B7"/>
    <mergeCell ref="B27:B28"/>
  </mergeCells>
  <pageMargins left="0.23622047244094491" right="0.23622047244094491" top="0.15748031496062992" bottom="0.15748031496062992" header="0.11811023622047245" footer="0.11811023622047245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N7" sqref="N7"/>
    </sheetView>
  </sheetViews>
  <sheetFormatPr defaultRowHeight="14.4" x14ac:dyDescent="0.3"/>
  <cols>
    <col min="1" max="1" width="11.77734375" style="25" bestFit="1" customWidth="1"/>
    <col min="2" max="2" width="11.5546875" style="25" customWidth="1"/>
    <col min="3" max="3" width="7.109375" style="25" bestFit="1" customWidth="1"/>
    <col min="4" max="4" width="24.6640625" style="25" bestFit="1" customWidth="1"/>
    <col min="5" max="5" width="8.109375" style="26" bestFit="1" customWidth="1"/>
    <col min="6" max="6" width="7.109375" style="26" bestFit="1" customWidth="1"/>
    <col min="7" max="7" width="7.6640625" style="25" customWidth="1"/>
    <col min="8" max="8" width="6.109375" style="25" bestFit="1" customWidth="1"/>
    <col min="9" max="9" width="6.5546875" style="25" customWidth="1"/>
    <col min="10" max="10" width="8.5546875" style="25" customWidth="1"/>
    <col min="11" max="16384" width="8.88671875" style="25"/>
  </cols>
  <sheetData>
    <row r="1" spans="1:10" ht="28.8" customHeight="1" x14ac:dyDescent="0.3">
      <c r="A1" s="25" t="s">
        <v>0</v>
      </c>
      <c r="B1" s="112" t="s">
        <v>70</v>
      </c>
      <c r="C1" s="113"/>
      <c r="D1" s="114"/>
      <c r="E1" s="26" t="s">
        <v>28</v>
      </c>
      <c r="F1" s="27"/>
      <c r="H1" s="25" t="s">
        <v>1</v>
      </c>
      <c r="I1" s="28" t="s">
        <v>30</v>
      </c>
    </row>
    <row r="2" spans="1:10" ht="15" thickBot="1" x14ac:dyDescent="0.35">
      <c r="B2" s="29" t="s">
        <v>33</v>
      </c>
    </row>
    <row r="3" spans="1:10" s="30" customFormat="1" ht="29.4" thickBot="1" x14ac:dyDescent="0.35">
      <c r="A3" s="99" t="s">
        <v>2</v>
      </c>
      <c r="B3" s="100" t="s">
        <v>3</v>
      </c>
      <c r="C3" s="100" t="s">
        <v>20</v>
      </c>
      <c r="D3" s="100" t="s">
        <v>4</v>
      </c>
      <c r="E3" s="101" t="s">
        <v>21</v>
      </c>
      <c r="F3" s="101" t="s">
        <v>5</v>
      </c>
      <c r="G3" s="102" t="s">
        <v>6</v>
      </c>
      <c r="H3" s="100" t="s">
        <v>7</v>
      </c>
      <c r="I3" s="100" t="s">
        <v>8</v>
      </c>
      <c r="J3" s="103" t="s">
        <v>9</v>
      </c>
    </row>
    <row r="4" spans="1:10" s="30" customFormat="1" ht="29.4" thickBot="1" x14ac:dyDescent="0.35">
      <c r="A4" s="3" t="s">
        <v>10</v>
      </c>
      <c r="B4" s="8" t="s">
        <v>11</v>
      </c>
      <c r="C4" s="59">
        <v>37</v>
      </c>
      <c r="D4" s="60" t="s">
        <v>40</v>
      </c>
      <c r="E4" s="52" t="s">
        <v>58</v>
      </c>
      <c r="F4" s="89">
        <f>21.15*170/150</f>
        <v>23.969999999999995</v>
      </c>
      <c r="G4" s="5">
        <f>206.25*170/150</f>
        <v>233.75</v>
      </c>
      <c r="H4" s="5">
        <f>9.08*170/150</f>
        <v>10.290666666666667</v>
      </c>
      <c r="I4" s="5">
        <f>7.58*170/150</f>
        <v>8.5906666666666656</v>
      </c>
      <c r="J4" s="6">
        <f>25.5*170/150</f>
        <v>28.9</v>
      </c>
    </row>
    <row r="5" spans="1:10" ht="31.8" customHeight="1" x14ac:dyDescent="0.3">
      <c r="A5" s="7"/>
      <c r="B5" s="32" t="s">
        <v>12</v>
      </c>
      <c r="C5" s="95">
        <v>20</v>
      </c>
      <c r="D5" s="96" t="s">
        <v>41</v>
      </c>
      <c r="E5" s="97" t="s">
        <v>50</v>
      </c>
      <c r="F5" s="98">
        <v>5.57</v>
      </c>
      <c r="G5" s="14">
        <v>70</v>
      </c>
      <c r="H5" s="14">
        <v>1.4</v>
      </c>
      <c r="I5" s="14">
        <v>1.6</v>
      </c>
      <c r="J5" s="45">
        <v>12.36</v>
      </c>
    </row>
    <row r="6" spans="1:10" ht="15.6" x14ac:dyDescent="0.3">
      <c r="A6" s="7"/>
      <c r="B6" s="110" t="s">
        <v>44</v>
      </c>
      <c r="C6" s="61">
        <v>27</v>
      </c>
      <c r="D6" s="62" t="s">
        <v>42</v>
      </c>
      <c r="E6" s="53">
        <v>75</v>
      </c>
      <c r="F6" s="86">
        <f>12.58*75/60</f>
        <v>15.725</v>
      </c>
      <c r="G6" s="9">
        <f>71.4*75/60</f>
        <v>89.25</v>
      </c>
      <c r="H6" s="9">
        <f>1.14*75/60</f>
        <v>1.4249999999999998</v>
      </c>
      <c r="I6" s="9">
        <f>5.34*75/60</f>
        <v>6.6749999999999998</v>
      </c>
      <c r="J6" s="10">
        <f>4.62*75/60</f>
        <v>5.7750000000000004</v>
      </c>
    </row>
    <row r="7" spans="1:10" ht="15.6" x14ac:dyDescent="0.3">
      <c r="A7" s="7"/>
      <c r="B7" s="111"/>
      <c r="C7" s="61">
        <v>3</v>
      </c>
      <c r="D7" s="62" t="s">
        <v>43</v>
      </c>
      <c r="E7" s="53">
        <v>15</v>
      </c>
      <c r="F7" s="86">
        <f>9.85*15/10</f>
        <v>14.775</v>
      </c>
      <c r="G7" s="9">
        <f>64.7*15/10</f>
        <v>97.05</v>
      </c>
      <c r="H7" s="9">
        <f>0.08*15/10</f>
        <v>0.12</v>
      </c>
      <c r="I7" s="9">
        <f>7.15*15/10</f>
        <v>10.725</v>
      </c>
      <c r="J7" s="10">
        <f>0.12*15/10</f>
        <v>0.18</v>
      </c>
    </row>
    <row r="8" spans="1:10" ht="15.6" x14ac:dyDescent="0.3">
      <c r="A8" s="7"/>
      <c r="B8" s="39" t="s">
        <v>18</v>
      </c>
      <c r="C8" s="61" t="s">
        <v>22</v>
      </c>
      <c r="D8" s="62" t="s">
        <v>23</v>
      </c>
      <c r="E8" s="53">
        <v>35</v>
      </c>
      <c r="F8" s="86">
        <v>1.55</v>
      </c>
      <c r="G8" s="9">
        <f>40*35/20</f>
        <v>70</v>
      </c>
      <c r="H8" s="9">
        <f>0.98*35/20</f>
        <v>1.7149999999999999</v>
      </c>
      <c r="I8" s="9">
        <f>0.2*35/20</f>
        <v>0.35</v>
      </c>
      <c r="J8" s="10">
        <f>8.95*35/20</f>
        <v>15.6625</v>
      </c>
    </row>
    <row r="9" spans="1:10" ht="15.6" x14ac:dyDescent="0.3">
      <c r="A9" s="7"/>
      <c r="B9" s="69"/>
      <c r="C9" s="61" t="s">
        <v>22</v>
      </c>
      <c r="D9" s="62" t="s">
        <v>26</v>
      </c>
      <c r="E9" s="53">
        <v>36</v>
      </c>
      <c r="F9" s="86">
        <v>2.06</v>
      </c>
      <c r="G9" s="9">
        <f>41.6*36/20</f>
        <v>74.88000000000001</v>
      </c>
      <c r="H9" s="9">
        <f>1.6*36/20</f>
        <v>2.88</v>
      </c>
      <c r="I9" s="9">
        <f>0.03*36/20</f>
        <v>5.4000000000000006E-2</v>
      </c>
      <c r="J9" s="10">
        <f>8.02*36/20</f>
        <v>14.435999999999998</v>
      </c>
    </row>
    <row r="10" spans="1:10" ht="15.6" x14ac:dyDescent="0.3">
      <c r="A10" s="7"/>
      <c r="B10" s="85"/>
      <c r="C10" s="94" t="s">
        <v>22</v>
      </c>
      <c r="D10" s="62" t="s">
        <v>51</v>
      </c>
      <c r="E10" s="53">
        <v>38</v>
      </c>
      <c r="F10" s="86">
        <f>114.6*0.038</f>
        <v>4.3548</v>
      </c>
      <c r="G10" s="9">
        <f>63.56*40/20</f>
        <v>127.12</v>
      </c>
      <c r="H10" s="9">
        <f>1.07*40/20</f>
        <v>2.14</v>
      </c>
      <c r="I10" s="9">
        <f>1.4*40/20</f>
        <v>2.8</v>
      </c>
      <c r="J10" s="10">
        <f>11.67*40/20</f>
        <v>23.34</v>
      </c>
    </row>
    <row r="11" spans="1:10" ht="16.2" thickBot="1" x14ac:dyDescent="0.35">
      <c r="A11" s="74"/>
      <c r="B11" s="75"/>
      <c r="C11" s="76"/>
      <c r="D11" s="77"/>
      <c r="E11" s="78"/>
      <c r="F11" s="90">
        <f>SUM(F4:F10)</f>
        <v>68.004799999999989</v>
      </c>
      <c r="G11" s="79">
        <f>SUM(G4:G10)</f>
        <v>762.05</v>
      </c>
      <c r="H11" s="79">
        <f>SUM(H4:H10)</f>
        <v>19.970666666666666</v>
      </c>
      <c r="I11" s="79">
        <f>SUM(I4:I10)</f>
        <v>30.794666666666664</v>
      </c>
      <c r="J11" s="79">
        <f>SUM(J4:J10)</f>
        <v>100.65349999999999</v>
      </c>
    </row>
    <row r="12" spans="1:10" ht="15.6" x14ac:dyDescent="0.3">
      <c r="A12" s="7"/>
      <c r="B12" s="4" t="s">
        <v>14</v>
      </c>
      <c r="C12" s="63">
        <v>1</v>
      </c>
      <c r="D12" s="64" t="s">
        <v>54</v>
      </c>
      <c r="E12" s="52" t="s">
        <v>59</v>
      </c>
      <c r="F12" s="89">
        <f>16.2*50/60</f>
        <v>13.5</v>
      </c>
      <c r="G12" s="5">
        <f>24*50/60</f>
        <v>20</v>
      </c>
      <c r="H12" s="5">
        <f>1.86*50/60</f>
        <v>1.55</v>
      </c>
      <c r="I12" s="5">
        <f>0.12*50/60</f>
        <v>0.1</v>
      </c>
      <c r="J12" s="6">
        <f>3.9*50/60</f>
        <v>3.25</v>
      </c>
    </row>
    <row r="13" spans="1:10" ht="15.6" x14ac:dyDescent="0.3">
      <c r="A13" s="33"/>
      <c r="B13" s="8" t="s">
        <v>16</v>
      </c>
      <c r="C13" s="65">
        <v>32</v>
      </c>
      <c r="D13" s="66" t="s">
        <v>62</v>
      </c>
      <c r="E13" s="55" t="s">
        <v>36</v>
      </c>
      <c r="F13" s="86">
        <v>38.44</v>
      </c>
      <c r="G13" s="9">
        <v>313</v>
      </c>
      <c r="H13" s="9">
        <v>13.84</v>
      </c>
      <c r="I13" s="9">
        <v>13.84</v>
      </c>
      <c r="J13" s="10">
        <v>35.020000000000003</v>
      </c>
    </row>
    <row r="14" spans="1:10" ht="15.6" x14ac:dyDescent="0.3">
      <c r="A14" s="33"/>
      <c r="B14" s="34" t="s">
        <v>25</v>
      </c>
      <c r="C14" s="61">
        <v>35</v>
      </c>
      <c r="D14" s="62" t="s">
        <v>49</v>
      </c>
      <c r="E14" s="82">
        <v>200</v>
      </c>
      <c r="F14" s="104">
        <v>9.82</v>
      </c>
      <c r="G14" s="9">
        <v>97</v>
      </c>
      <c r="H14" s="9">
        <v>0.68</v>
      </c>
      <c r="I14" s="9">
        <v>0.28000000000000003</v>
      </c>
      <c r="J14" s="10">
        <v>19.64</v>
      </c>
    </row>
    <row r="15" spans="1:10" ht="15.6" x14ac:dyDescent="0.3">
      <c r="A15" s="33"/>
      <c r="B15" s="34" t="s">
        <v>19</v>
      </c>
      <c r="C15" s="61" t="s">
        <v>22</v>
      </c>
      <c r="D15" s="62" t="s">
        <v>26</v>
      </c>
      <c r="E15" s="82" t="s">
        <v>39</v>
      </c>
      <c r="F15" s="104">
        <f>70.2*0.036</f>
        <v>2.5272000000000001</v>
      </c>
      <c r="G15" s="35">
        <f>62.4*36/30</f>
        <v>74.88000000000001</v>
      </c>
      <c r="H15" s="35">
        <f>2.4*36/30</f>
        <v>2.88</v>
      </c>
      <c r="I15" s="35">
        <f>0.45*36/30</f>
        <v>0.53999999999999992</v>
      </c>
      <c r="J15" s="36">
        <f>11.37*36/30</f>
        <v>13.644</v>
      </c>
    </row>
    <row r="16" spans="1:10" ht="15.6" x14ac:dyDescent="0.3">
      <c r="A16" s="33"/>
      <c r="B16" s="39" t="s">
        <v>17</v>
      </c>
      <c r="C16" s="80" t="s">
        <v>22</v>
      </c>
      <c r="D16" s="81" t="s">
        <v>23</v>
      </c>
      <c r="E16" s="83" t="s">
        <v>39</v>
      </c>
      <c r="F16" s="105">
        <v>1.94</v>
      </c>
      <c r="G16" s="37">
        <f>60*36/30</f>
        <v>72</v>
      </c>
      <c r="H16" s="37">
        <f>1.47*36/30</f>
        <v>1.764</v>
      </c>
      <c r="I16" s="37">
        <f>0.3*36/30</f>
        <v>0.36</v>
      </c>
      <c r="J16" s="38">
        <f>13.44*36/30</f>
        <v>16.128</v>
      </c>
    </row>
    <row r="17" spans="1:10" ht="15.6" x14ac:dyDescent="0.3">
      <c r="A17" s="33"/>
      <c r="B17" s="39" t="s">
        <v>63</v>
      </c>
      <c r="C17" s="80" t="s">
        <v>22</v>
      </c>
      <c r="D17" s="81" t="s">
        <v>64</v>
      </c>
      <c r="E17" s="83" t="s">
        <v>65</v>
      </c>
      <c r="F17" s="105">
        <f>420.48*1.4*0.02</f>
        <v>11.773440000000001</v>
      </c>
      <c r="G17" s="37">
        <v>127.12</v>
      </c>
      <c r="H17" s="37">
        <v>2.14</v>
      </c>
      <c r="I17" s="37">
        <v>2.8</v>
      </c>
      <c r="J17" s="38">
        <v>23.34</v>
      </c>
    </row>
    <row r="18" spans="1:10" ht="16.2" thickBot="1" x14ac:dyDescent="0.35">
      <c r="A18" s="40"/>
      <c r="B18" s="41"/>
      <c r="C18" s="42"/>
      <c r="D18" s="42"/>
      <c r="E18" s="84"/>
      <c r="F18" s="106">
        <f>SUM(F12:F17)</f>
        <v>78.000640000000004</v>
      </c>
      <c r="G18" s="43">
        <f>SUM(G13:G16)</f>
        <v>556.88</v>
      </c>
      <c r="H18" s="43">
        <f>SUM(H13:H16)</f>
        <v>19.163999999999998</v>
      </c>
      <c r="I18" s="43">
        <f>SUM(I13:I16)</f>
        <v>15.019999999999998</v>
      </c>
      <c r="J18" s="44">
        <f>SUM(J13:J16)</f>
        <v>84.432000000000002</v>
      </c>
    </row>
    <row r="19" spans="1:10" ht="16.2" thickBot="1" x14ac:dyDescent="0.35">
      <c r="A19" s="33"/>
      <c r="B19" s="4" t="s">
        <v>14</v>
      </c>
      <c r="C19" s="63">
        <v>1</v>
      </c>
      <c r="D19" s="64" t="s">
        <v>54</v>
      </c>
      <c r="E19" s="52" t="s">
        <v>38</v>
      </c>
      <c r="F19" s="89">
        <f>16.2*35/60</f>
        <v>9.4499999999999993</v>
      </c>
      <c r="G19" s="5">
        <f>24*35/60</f>
        <v>14</v>
      </c>
      <c r="H19" s="5">
        <f>1.86*35/60</f>
        <v>1.0850000000000002</v>
      </c>
      <c r="I19" s="5">
        <f>0.12*35/60</f>
        <v>7.0000000000000007E-2</v>
      </c>
      <c r="J19" s="6">
        <f>3.9*35/60</f>
        <v>2.2749999999999999</v>
      </c>
    </row>
    <row r="20" spans="1:10" ht="43.2" x14ac:dyDescent="0.3">
      <c r="A20" s="31"/>
      <c r="B20" s="8" t="s">
        <v>15</v>
      </c>
      <c r="C20" s="65">
        <v>49</v>
      </c>
      <c r="D20" s="66" t="s">
        <v>46</v>
      </c>
      <c r="E20" s="55" t="s">
        <v>55</v>
      </c>
      <c r="F20" s="86">
        <v>14.94</v>
      </c>
      <c r="G20" s="9">
        <v>123</v>
      </c>
      <c r="H20" s="9">
        <v>2.23</v>
      </c>
      <c r="I20" s="9">
        <v>5.0599999999999996</v>
      </c>
      <c r="J20" s="10">
        <v>13.48</v>
      </c>
    </row>
    <row r="21" spans="1:10" ht="15.6" x14ac:dyDescent="0.3">
      <c r="A21" s="33"/>
      <c r="B21" s="8" t="s">
        <v>16</v>
      </c>
      <c r="C21" s="65">
        <v>32</v>
      </c>
      <c r="D21" s="66" t="s">
        <v>62</v>
      </c>
      <c r="E21" s="55" t="s">
        <v>36</v>
      </c>
      <c r="F21" s="86">
        <v>38.44</v>
      </c>
      <c r="G21" s="9">
        <v>313</v>
      </c>
      <c r="H21" s="9">
        <v>13.84</v>
      </c>
      <c r="I21" s="9">
        <v>13.84</v>
      </c>
      <c r="J21" s="10">
        <v>35.020000000000003</v>
      </c>
    </row>
    <row r="22" spans="1:10" ht="15.6" x14ac:dyDescent="0.3">
      <c r="A22" s="33"/>
      <c r="B22" s="34" t="s">
        <v>25</v>
      </c>
      <c r="C22" s="61">
        <v>35</v>
      </c>
      <c r="D22" s="62" t="s">
        <v>49</v>
      </c>
      <c r="E22" s="82">
        <v>200</v>
      </c>
      <c r="F22" s="104">
        <v>9.82</v>
      </c>
      <c r="G22" s="9">
        <v>97</v>
      </c>
      <c r="H22" s="9">
        <v>0.68</v>
      </c>
      <c r="I22" s="9">
        <v>0.28000000000000003</v>
      </c>
      <c r="J22" s="10">
        <v>19.64</v>
      </c>
    </row>
    <row r="23" spans="1:10" ht="15.6" x14ac:dyDescent="0.3">
      <c r="A23" s="33"/>
      <c r="B23" s="34" t="s">
        <v>19</v>
      </c>
      <c r="C23" s="61" t="s">
        <v>22</v>
      </c>
      <c r="D23" s="62" t="s">
        <v>26</v>
      </c>
      <c r="E23" s="82" t="s">
        <v>68</v>
      </c>
      <c r="F23" s="104">
        <v>3.14</v>
      </c>
      <c r="G23" s="35">
        <f>62.4*33/30</f>
        <v>68.64</v>
      </c>
      <c r="H23" s="35">
        <f>2.4*33/30</f>
        <v>2.64</v>
      </c>
      <c r="I23" s="35">
        <f>0.45*33/30</f>
        <v>0.495</v>
      </c>
      <c r="J23" s="36">
        <f>11.37*33/30</f>
        <v>12.507</v>
      </c>
    </row>
    <row r="24" spans="1:10" ht="15.6" x14ac:dyDescent="0.3">
      <c r="A24" s="33"/>
      <c r="B24" s="39" t="s">
        <v>17</v>
      </c>
      <c r="C24" s="80" t="s">
        <v>22</v>
      </c>
      <c r="D24" s="81" t="s">
        <v>23</v>
      </c>
      <c r="E24" s="83" t="s">
        <v>69</v>
      </c>
      <c r="F24" s="105">
        <f>54.17*0.045</f>
        <v>2.4376500000000001</v>
      </c>
      <c r="G24" s="37">
        <f>60*32/30</f>
        <v>64</v>
      </c>
      <c r="H24" s="37">
        <f>1.47*32/30</f>
        <v>1.5680000000000001</v>
      </c>
      <c r="I24" s="37">
        <f>0.3*32/30</f>
        <v>0.32</v>
      </c>
      <c r="J24" s="38">
        <f>13.44*32/30</f>
        <v>14.336</v>
      </c>
    </row>
    <row r="25" spans="1:10" ht="15.6" x14ac:dyDescent="0.3">
      <c r="A25" s="33"/>
      <c r="B25" s="39" t="s">
        <v>63</v>
      </c>
      <c r="C25" s="80" t="s">
        <v>22</v>
      </c>
      <c r="D25" s="81" t="s">
        <v>64</v>
      </c>
      <c r="E25" s="83" t="s">
        <v>65</v>
      </c>
      <c r="F25" s="105">
        <f>420.48*1.4*0.02</f>
        <v>11.773440000000001</v>
      </c>
      <c r="G25" s="37">
        <v>127.12</v>
      </c>
      <c r="H25" s="37">
        <v>2.14</v>
      </c>
      <c r="I25" s="37">
        <v>2.8</v>
      </c>
      <c r="J25" s="38">
        <v>23.34</v>
      </c>
    </row>
    <row r="26" spans="1:10" ht="16.2" thickBot="1" x14ac:dyDescent="0.35">
      <c r="A26" s="40"/>
      <c r="B26" s="41"/>
      <c r="C26" s="42"/>
      <c r="D26" s="42"/>
      <c r="E26" s="84"/>
      <c r="F26" s="106">
        <f>SUM(F19:F25)</f>
        <v>90.001090000000005</v>
      </c>
      <c r="G26" s="43">
        <f>SUM(G21:G25)</f>
        <v>669.76</v>
      </c>
      <c r="H26" s="43">
        <f>SUM(H21:H25)</f>
        <v>20.868000000000002</v>
      </c>
      <c r="I26" s="43">
        <f>SUM(I21:I25)</f>
        <v>17.734999999999999</v>
      </c>
      <c r="J26" s="44">
        <f>SUM(J21:J25)</f>
        <v>104.843</v>
      </c>
    </row>
    <row r="27" spans="1:10" s="1" customFormat="1" x14ac:dyDescent="0.3">
      <c r="E27" s="18"/>
      <c r="F27" s="18"/>
    </row>
    <row r="28" spans="1:10" s="1" customFormat="1" x14ac:dyDescent="0.3">
      <c r="A28" s="24" t="s">
        <v>31</v>
      </c>
      <c r="E28" s="18"/>
      <c r="F28" s="18"/>
    </row>
    <row r="29" spans="1:10" s="1" customFormat="1" x14ac:dyDescent="0.3">
      <c r="E29" s="18"/>
      <c r="F29" s="18"/>
    </row>
    <row r="30" spans="1:10" s="1" customFormat="1" x14ac:dyDescent="0.3">
      <c r="A30" s="24" t="s">
        <v>32</v>
      </c>
      <c r="E30" s="18"/>
      <c r="F30" s="18"/>
    </row>
    <row r="31" spans="1:10" s="1" customFormat="1" x14ac:dyDescent="0.3">
      <c r="E31" s="18"/>
      <c r="F31" s="18"/>
    </row>
  </sheetData>
  <mergeCells count="2">
    <mergeCell ref="B1:D1"/>
    <mergeCell ref="B6:B7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</cp:lastModifiedBy>
  <cp:lastPrinted>2021-09-03T09:23:05Z</cp:lastPrinted>
  <dcterms:created xsi:type="dcterms:W3CDTF">2015-06-05T18:19:34Z</dcterms:created>
  <dcterms:modified xsi:type="dcterms:W3CDTF">2021-09-08T06:43:30Z</dcterms:modified>
</cp:coreProperties>
</file>