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278989D5-BA59-462E-A4C1-75EE6634CF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21" i="2" l="1"/>
  <c r="F16" i="2"/>
  <c r="F17" i="2"/>
  <c r="F18" i="2"/>
  <c r="F38" i="1"/>
  <c r="F32" i="1"/>
  <c r="F9" i="1"/>
  <c r="F11" i="2"/>
  <c r="F13" i="2"/>
  <c r="F10" i="2"/>
  <c r="F4" i="2"/>
  <c r="F9" i="2"/>
  <c r="F8" i="2"/>
  <c r="F26" i="1"/>
  <c r="F23" i="1"/>
  <c r="F8" i="1"/>
  <c r="F7" i="1"/>
  <c r="F4" i="1"/>
  <c r="F34" i="1"/>
  <c r="F18" i="1"/>
  <c r="F19" i="1"/>
  <c r="F16" i="1"/>
  <c r="F13" i="1"/>
  <c r="J21" i="2"/>
  <c r="I21" i="2"/>
  <c r="H21" i="2"/>
  <c r="H22" i="2" s="1"/>
  <c r="G21" i="2"/>
  <c r="G22" i="2" s="1"/>
  <c r="J20" i="2"/>
  <c r="J22" i="2" s="1"/>
  <c r="I20" i="2"/>
  <c r="H19" i="2"/>
  <c r="H20" i="2"/>
  <c r="G20" i="2"/>
  <c r="J14" i="2"/>
  <c r="J15" i="2" s="1"/>
  <c r="I14" i="2"/>
  <c r="H14" i="2"/>
  <c r="G14" i="2"/>
  <c r="J13" i="2"/>
  <c r="I13" i="2"/>
  <c r="H13" i="2"/>
  <c r="G13" i="2"/>
  <c r="J8" i="2"/>
  <c r="I8" i="2"/>
  <c r="H8" i="2"/>
  <c r="G8" i="2"/>
  <c r="J7" i="2"/>
  <c r="I7" i="2"/>
  <c r="H7" i="2"/>
  <c r="G7" i="2"/>
  <c r="J6" i="2"/>
  <c r="I6" i="2"/>
  <c r="H6" i="2"/>
  <c r="G6" i="2"/>
  <c r="F22" i="2" l="1"/>
  <c r="I9" i="2"/>
  <c r="G15" i="2"/>
  <c r="J9" i="2"/>
  <c r="H9" i="2"/>
  <c r="H15" i="2"/>
  <c r="I22" i="2"/>
  <c r="I15" i="2"/>
  <c r="G9" i="2"/>
  <c r="F15" i="2"/>
  <c r="F28" i="1"/>
  <c r="J38" i="1"/>
  <c r="I38" i="1"/>
  <c r="H38" i="1"/>
  <c r="G38" i="1"/>
  <c r="J37" i="1"/>
  <c r="I37" i="1"/>
  <c r="H37" i="1"/>
  <c r="G37" i="1"/>
  <c r="I32" i="1"/>
  <c r="H32" i="1"/>
  <c r="G32" i="1"/>
  <c r="J25" i="1"/>
  <c r="I25" i="1"/>
  <c r="H25" i="1"/>
  <c r="G25" i="1"/>
  <c r="G28" i="1" s="1"/>
  <c r="J19" i="1"/>
  <c r="I19" i="1"/>
  <c r="H19" i="1"/>
  <c r="G19" i="1"/>
  <c r="J18" i="1"/>
  <c r="I18" i="1"/>
  <c r="H18" i="1"/>
  <c r="G18" i="1"/>
  <c r="I13" i="1"/>
  <c r="H13" i="1"/>
  <c r="G13" i="1"/>
  <c r="J8" i="1"/>
  <c r="I8" i="1"/>
  <c r="H8" i="1"/>
  <c r="G8" i="1"/>
  <c r="J7" i="1"/>
  <c r="I7" i="1"/>
  <c r="H7" i="1"/>
  <c r="G7" i="1"/>
  <c r="J6" i="1"/>
  <c r="I6" i="1"/>
  <c r="H6" i="1"/>
  <c r="G6" i="1"/>
  <c r="G39" i="1" l="1"/>
  <c r="J30" i="1"/>
  <c r="J31" i="1" s="1"/>
  <c r="I30" i="1"/>
  <c r="I31" i="1" s="1"/>
  <c r="H30" i="1"/>
  <c r="H31" i="1" s="1"/>
  <c r="G30" i="1"/>
  <c r="J11" i="1"/>
  <c r="I11" i="1"/>
  <c r="H11" i="1"/>
  <c r="G11" i="1"/>
  <c r="J39" i="1"/>
  <c r="H39" i="1"/>
  <c r="F39" i="1"/>
  <c r="G31" i="1"/>
  <c r="J28" i="1"/>
  <c r="H28" i="1"/>
  <c r="I28" i="1"/>
  <c r="I39" i="1" l="1"/>
  <c r="F20" i="1" l="1"/>
  <c r="H9" i="1" l="1"/>
  <c r="G9" i="1"/>
  <c r="G12" i="1" l="1"/>
  <c r="J9" i="1"/>
  <c r="G20" i="1" l="1"/>
  <c r="I9" i="1"/>
  <c r="J20" i="1"/>
  <c r="I20" i="1"/>
  <c r="H20" i="1"/>
  <c r="J12" i="1"/>
  <c r="I12" i="1"/>
  <c r="H12" i="1"/>
</calcChain>
</file>

<file path=xl/sharedStrings.xml><?xml version="1.0" encoding="utf-8"?>
<sst xmlns="http://schemas.openxmlformats.org/spreadsheetml/2006/main" count="171" uniqueCount="66">
  <si>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</si>
  <si>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</si>
  <si>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</si>
  <si>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</si>
  <si>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</si>
  <si>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</si>
  <si>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</si>
  <si>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</si>
  <si>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</si>
  <si>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</si>
  <si>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</si>
  <si>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</si>
  <si>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</si>
  <si>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</si>
  <si>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</si>
  <si>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</si>
  <si>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</si>
  <si>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</si>
  <si>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</si>
  <si>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</si>
  <si>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</si>
  <si>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</si>
  <si>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</si>
  <si>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</si>
  <si>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</si>
  <si>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</si>
  <si>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</si>
  <si>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</si>
  <si>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</si>
  <si>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</si>
  <si>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</si>
  <si>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Бухгалтер калькулятор _______________________________</t>
  </si>
  <si>
    <t>За наличный расчет</t>
  </si>
  <si>
    <t>200</t>
  </si>
  <si>
    <t xml:space="preserve"> </t>
  </si>
  <si>
    <t>40</t>
  </si>
  <si>
    <t>Зав.производством __________________________________</t>
  </si>
  <si>
    <t>90</t>
  </si>
  <si>
    <t>гарнир</t>
  </si>
  <si>
    <t>150</t>
  </si>
  <si>
    <t>180</t>
  </si>
  <si>
    <t xml:space="preserve">Хлеб пшеничный </t>
  </si>
  <si>
    <t>Плов из отварной говядины</t>
  </si>
  <si>
    <t>Чай с молоком</t>
  </si>
  <si>
    <t>Вафли</t>
  </si>
  <si>
    <t>Молоко кипяченое</t>
  </si>
  <si>
    <t>Булочна дорожная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</si>
  <si>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</si>
  <si>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</si>
  <si>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</si>
  <si>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</si>
  <si>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250/5</t>
  </si>
  <si>
    <t>20</t>
  </si>
  <si>
    <t>170/40</t>
  </si>
  <si>
    <t>140/40</t>
  </si>
  <si>
    <t>Котлеты мясная</t>
  </si>
  <si>
    <t>100</t>
  </si>
  <si>
    <t>Кукуруза консервированная отварная</t>
  </si>
  <si>
    <t xml:space="preserve">1 блюдо </t>
  </si>
  <si>
    <t>50</t>
  </si>
  <si>
    <t>39</t>
  </si>
  <si>
    <t>38</t>
  </si>
  <si>
    <t>добавка</t>
  </si>
  <si>
    <t>235/5/10</t>
  </si>
  <si>
    <t>Щи из свежей капусты с картофелем со сметаной,  с мясом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</si>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</sst>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3" fillId="0" borderId="17" xfId="0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7" xfId="0" applyNumberFormat="1" applyFont="1" applyFill="1" applyBorder="1"/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/>
    <xf numFmtId="2" fontId="3" fillId="0" borderId="17" xfId="0" applyNumberFormat="1" applyFont="1" applyFill="1" applyBorder="1"/>
    <xf numFmtId="2" fontId="3" fillId="0" borderId="4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7" fillId="0" borderId="4" xfId="0" applyNumberFormat="1" applyFont="1" applyFill="1" applyBorder="1"/>
    <xf numFmtId="2" fontId="7" fillId="0" borderId="4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zoomScaleNormal="100" workbookViewId="0">
      <selection activeCell="B1" sqref="B1:D1"/>
    </sheetView>
  </sheetViews>
  <sheetFormatPr defaultColWidth="8.88671875" defaultRowHeight="14.4" x14ac:dyDescent="0.3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7" bestFit="1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 x14ac:dyDescent="0.3">
      <c r="A1" s="1" t="s">
        <v>0</v>
      </c>
      <c r="B1" s="118" t="s">
        <v>65</v>
      </c>
      <c r="C1" s="119"/>
      <c r="D1" s="120"/>
      <c r="E1" s="17" t="s">
        <v>28</v>
      </c>
      <c r="F1" s="16"/>
      <c r="H1" s="1" t="s">
        <v>1</v>
      </c>
      <c r="I1" s="15" t="s">
        <v>30</v>
      </c>
    </row>
    <row r="2" spans="1:10" ht="15" thickBot="1" x14ac:dyDescent="0.35">
      <c r="B2" s="2" t="s">
        <v>27</v>
      </c>
    </row>
    <row r="3" spans="1:10" s="22" customFormat="1" ht="29.4" thickBot="1" x14ac:dyDescent="0.35">
      <c r="A3" s="18" t="s">
        <v>2</v>
      </c>
      <c r="B3" s="19" t="s">
        <v>3</v>
      </c>
      <c r="C3" s="19" t="s">
        <v>20</v>
      </c>
      <c r="D3" s="19" t="s">
        <v>4</v>
      </c>
      <c r="E3" s="36" t="s">
        <v>21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28.8" x14ac:dyDescent="0.3">
      <c r="A4" s="3" t="s">
        <v>10</v>
      </c>
      <c r="B4" s="4" t="s">
        <v>11</v>
      </c>
      <c r="C4" s="44">
        <v>72</v>
      </c>
      <c r="D4" s="45" t="s">
        <v>42</v>
      </c>
      <c r="E4" s="37" t="s">
        <v>54</v>
      </c>
      <c r="F4" s="68">
        <f>5.05*140/150+40.5*40/50</f>
        <v>37.11333333333333</v>
      </c>
      <c r="G4" s="83">
        <v>294</v>
      </c>
      <c r="H4" s="83">
        <v>14.86</v>
      </c>
      <c r="I4" s="83">
        <v>16.579999999999998</v>
      </c>
      <c r="J4" s="84">
        <v>22.8</v>
      </c>
    </row>
    <row r="5" spans="1:10" ht="15.6" x14ac:dyDescent="0.3">
      <c r="A5" s="7"/>
      <c r="B5" s="81" t="s">
        <v>12</v>
      </c>
      <c r="C5" s="73">
        <v>20</v>
      </c>
      <c r="D5" s="74" t="s">
        <v>43</v>
      </c>
      <c r="E5" s="75" t="s">
        <v>33</v>
      </c>
      <c r="F5" s="76">
        <v>4.24</v>
      </c>
      <c r="G5" s="9">
        <v>1.4</v>
      </c>
      <c r="H5" s="9">
        <v>1.6</v>
      </c>
      <c r="I5" s="9">
        <v>12.36</v>
      </c>
      <c r="J5" s="10">
        <v>70</v>
      </c>
    </row>
    <row r="6" spans="1:10" ht="15.6" x14ac:dyDescent="0.3">
      <c r="A6" s="7"/>
      <c r="B6" s="29" t="s">
        <v>18</v>
      </c>
      <c r="C6" s="73" t="s">
        <v>22</v>
      </c>
      <c r="D6" s="74" t="s">
        <v>44</v>
      </c>
      <c r="E6" s="75" t="s">
        <v>52</v>
      </c>
      <c r="F6" s="76">
        <v>4.7</v>
      </c>
      <c r="G6" s="9">
        <f>190.76*20/60</f>
        <v>63.586666666666666</v>
      </c>
      <c r="H6" s="9">
        <f>3.22*20/60</f>
        <v>1.0733333333333335</v>
      </c>
      <c r="I6" s="9">
        <f>4.2*20/60</f>
        <v>1.4</v>
      </c>
      <c r="J6" s="10">
        <f>35.02*20/60</f>
        <v>11.673333333333336</v>
      </c>
    </row>
    <row r="7" spans="1:10" ht="15.6" x14ac:dyDescent="0.3">
      <c r="A7" s="7"/>
      <c r="B7" s="8"/>
      <c r="C7" s="46" t="s">
        <v>22</v>
      </c>
      <c r="D7" s="47" t="s">
        <v>23</v>
      </c>
      <c r="E7" s="38">
        <v>24</v>
      </c>
      <c r="F7" s="65">
        <f>45.17*0.024</f>
        <v>1.0840800000000002</v>
      </c>
      <c r="G7" s="9">
        <f>40*24/20</f>
        <v>48</v>
      </c>
      <c r="H7" s="9">
        <f>0.98*24/20</f>
        <v>1.1759999999999999</v>
      </c>
      <c r="I7" s="9">
        <f>0.2*24/20</f>
        <v>0.24000000000000005</v>
      </c>
      <c r="J7" s="10">
        <f>8.95*24/20</f>
        <v>10.739999999999998</v>
      </c>
    </row>
    <row r="8" spans="1:10" ht="15.6" x14ac:dyDescent="0.3">
      <c r="A8" s="7"/>
      <c r="B8" s="54"/>
      <c r="C8" s="46" t="s">
        <v>22</v>
      </c>
      <c r="D8" s="47" t="s">
        <v>41</v>
      </c>
      <c r="E8" s="38">
        <v>25</v>
      </c>
      <c r="F8" s="65">
        <f>58.5*0.025</f>
        <v>1.4625000000000001</v>
      </c>
      <c r="G8" s="9">
        <f>41.6*25/20</f>
        <v>52</v>
      </c>
      <c r="H8" s="9">
        <f>1.6*25/20</f>
        <v>2</v>
      </c>
      <c r="I8" s="9">
        <f>0.03*25/20</f>
        <v>3.7499999999999999E-2</v>
      </c>
      <c r="J8" s="10">
        <f>8.02*25/20</f>
        <v>10.025</v>
      </c>
    </row>
    <row r="9" spans="1:10" ht="16.2" thickBot="1" x14ac:dyDescent="0.35">
      <c r="A9" s="59"/>
      <c r="B9" s="60"/>
      <c r="C9" s="61"/>
      <c r="D9" s="62"/>
      <c r="E9" s="63"/>
      <c r="F9" s="69">
        <f>SUM(F4:F8)</f>
        <v>48.599913333333333</v>
      </c>
      <c r="G9" s="64">
        <f>SUM(G4:G8)</f>
        <v>458.98666666666662</v>
      </c>
      <c r="H9" s="64">
        <f>SUM(H4:H8)</f>
        <v>20.709333333333333</v>
      </c>
      <c r="I9" s="64">
        <f>SUM(I4:I8)</f>
        <v>30.617499999999996</v>
      </c>
      <c r="J9" s="82">
        <f>SUM(J4:J8)</f>
        <v>125.23833333333333</v>
      </c>
    </row>
    <row r="10" spans="1:10" ht="15.6" x14ac:dyDescent="0.3">
      <c r="A10" s="3" t="s">
        <v>24</v>
      </c>
      <c r="B10" s="4"/>
      <c r="C10" s="48">
        <v>8</v>
      </c>
      <c r="D10" s="49" t="s">
        <v>45</v>
      </c>
      <c r="E10" s="39">
        <v>200</v>
      </c>
      <c r="F10" s="68">
        <v>13.3</v>
      </c>
      <c r="G10" s="5">
        <v>108</v>
      </c>
      <c r="H10" s="5">
        <v>5.8</v>
      </c>
      <c r="I10" s="5">
        <v>5</v>
      </c>
      <c r="J10" s="6">
        <v>9.6</v>
      </c>
    </row>
    <row r="11" spans="1:10" ht="15.6" x14ac:dyDescent="0.3">
      <c r="A11" s="7"/>
      <c r="B11" s="77"/>
      <c r="C11" s="78">
        <v>67</v>
      </c>
      <c r="D11" s="79" t="s">
        <v>46</v>
      </c>
      <c r="E11" s="80">
        <v>120</v>
      </c>
      <c r="F11" s="76">
        <v>23.14</v>
      </c>
      <c r="G11" s="13">
        <f>376.67*125/100</f>
        <v>470.83749999999998</v>
      </c>
      <c r="H11" s="13">
        <f>7*125/100</f>
        <v>8.75</v>
      </c>
      <c r="I11" s="13">
        <f>13.83*125/100</f>
        <v>17.287500000000001</v>
      </c>
      <c r="J11" s="30">
        <f>55.83*125/100</f>
        <v>69.787499999999994</v>
      </c>
    </row>
    <row r="12" spans="1:10" ht="16.2" thickBot="1" x14ac:dyDescent="0.35">
      <c r="A12" s="55"/>
      <c r="B12" s="32"/>
      <c r="C12" s="56"/>
      <c r="D12" s="57"/>
      <c r="E12" s="58"/>
      <c r="F12" s="70">
        <v>36.44</v>
      </c>
      <c r="G12" s="66">
        <f>SUM(G10:G11)</f>
        <v>578.83749999999998</v>
      </c>
      <c r="H12" s="66">
        <f>SUM(H10:H11)</f>
        <v>14.55</v>
      </c>
      <c r="I12" s="66">
        <f>SUM(I10:I11)</f>
        <v>22.287500000000001</v>
      </c>
      <c r="J12" s="67">
        <f>SUM(J10:J11)</f>
        <v>79.387499999999989</v>
      </c>
    </row>
    <row r="13" spans="1:10" ht="15.6" x14ac:dyDescent="0.3">
      <c r="A13" s="3" t="s">
        <v>13</v>
      </c>
      <c r="B13" s="4" t="s">
        <v>14</v>
      </c>
      <c r="C13" s="48">
        <v>54</v>
      </c>
      <c r="D13" s="49" t="s">
        <v>47</v>
      </c>
      <c r="E13" s="37" t="s">
        <v>59</v>
      </c>
      <c r="F13" s="68">
        <f>9.66*50/60</f>
        <v>8.0500000000000007</v>
      </c>
      <c r="G13" s="5">
        <f>75*45/60</f>
        <v>56.25</v>
      </c>
      <c r="H13" s="5">
        <f>0.5*45/60</f>
        <v>0.375</v>
      </c>
      <c r="I13" s="5">
        <f>5.1*45/60</f>
        <v>3.8249999999999997</v>
      </c>
      <c r="J13" s="6">
        <v>9.6</v>
      </c>
    </row>
    <row r="14" spans="1:10" ht="28.8" x14ac:dyDescent="0.3">
      <c r="A14" s="7"/>
      <c r="B14" s="8" t="s">
        <v>15</v>
      </c>
      <c r="C14" s="50">
        <v>33</v>
      </c>
      <c r="D14" s="51" t="s">
        <v>48</v>
      </c>
      <c r="E14" s="40" t="s">
        <v>51</v>
      </c>
      <c r="F14" s="65">
        <v>5.96</v>
      </c>
      <c r="G14" s="9">
        <v>108.75</v>
      </c>
      <c r="H14" s="9">
        <v>1.72</v>
      </c>
      <c r="I14" s="9">
        <v>6.18</v>
      </c>
      <c r="J14" s="10">
        <v>11.66</v>
      </c>
    </row>
    <row r="15" spans="1:10" ht="15.6" x14ac:dyDescent="0.3">
      <c r="A15" s="7"/>
      <c r="B15" s="8" t="s">
        <v>16</v>
      </c>
      <c r="C15" s="50">
        <v>58</v>
      </c>
      <c r="D15" s="51" t="s">
        <v>55</v>
      </c>
      <c r="E15" s="40" t="s">
        <v>37</v>
      </c>
      <c r="F15" s="65">
        <v>38.200000000000003</v>
      </c>
      <c r="G15" s="9">
        <v>257.39999999999998</v>
      </c>
      <c r="H15" s="9">
        <v>16.02</v>
      </c>
      <c r="I15" s="9">
        <v>15.75</v>
      </c>
      <c r="J15" s="10">
        <v>12.87</v>
      </c>
    </row>
    <row r="16" spans="1:10" ht="15.6" x14ac:dyDescent="0.3">
      <c r="A16" s="7"/>
      <c r="B16" s="8" t="s">
        <v>38</v>
      </c>
      <c r="C16" s="50">
        <v>7</v>
      </c>
      <c r="D16" s="51" t="s">
        <v>49</v>
      </c>
      <c r="E16" s="40" t="s">
        <v>39</v>
      </c>
      <c r="F16" s="65">
        <f>11.14*150/180</f>
        <v>9.2833333333333332</v>
      </c>
      <c r="G16" s="9">
        <v>159.12</v>
      </c>
      <c r="H16" s="9">
        <v>3.74</v>
      </c>
      <c r="I16" s="9">
        <v>6.12</v>
      </c>
      <c r="J16" s="10">
        <v>22.28</v>
      </c>
    </row>
    <row r="17" spans="1:10" ht="15.6" x14ac:dyDescent="0.3">
      <c r="A17" s="7"/>
      <c r="B17" s="8" t="s">
        <v>25</v>
      </c>
      <c r="C17" s="50">
        <v>35</v>
      </c>
      <c r="D17" s="51" t="s">
        <v>50</v>
      </c>
      <c r="E17" s="40">
        <v>200</v>
      </c>
      <c r="F17" s="65">
        <v>7.41</v>
      </c>
      <c r="G17" s="9">
        <v>97</v>
      </c>
      <c r="H17" s="9">
        <v>0.68</v>
      </c>
      <c r="I17" s="9">
        <v>0.28000000000000003</v>
      </c>
      <c r="J17" s="10">
        <v>19.64</v>
      </c>
    </row>
    <row r="18" spans="1:10" ht="15.6" x14ac:dyDescent="0.3">
      <c r="A18" s="7"/>
      <c r="B18" s="8" t="s">
        <v>19</v>
      </c>
      <c r="C18" s="50" t="s">
        <v>22</v>
      </c>
      <c r="D18" s="51" t="s">
        <v>26</v>
      </c>
      <c r="E18" s="40" t="s">
        <v>60</v>
      </c>
      <c r="F18" s="65">
        <f>58.5*0.039</f>
        <v>2.2814999999999999</v>
      </c>
      <c r="G18" s="9">
        <f>62.4*37/30</f>
        <v>76.959999999999994</v>
      </c>
      <c r="H18" s="9">
        <f>2.4*37/30</f>
        <v>2.96</v>
      </c>
      <c r="I18" s="9">
        <f>0.45*37/30</f>
        <v>0.55500000000000005</v>
      </c>
      <c r="J18" s="10">
        <f>11.37*37/30</f>
        <v>14.023</v>
      </c>
    </row>
    <row r="19" spans="1:10" ht="15.6" x14ac:dyDescent="0.3">
      <c r="A19" s="7"/>
      <c r="B19" s="14" t="s">
        <v>17</v>
      </c>
      <c r="C19" s="52" t="s">
        <v>22</v>
      </c>
      <c r="D19" s="53" t="s">
        <v>23</v>
      </c>
      <c r="E19" s="41" t="s">
        <v>61</v>
      </c>
      <c r="F19" s="71">
        <f>45.14*0.038</f>
        <v>1.71532</v>
      </c>
      <c r="G19" s="11">
        <f>60*36/30</f>
        <v>72</v>
      </c>
      <c r="H19" s="11">
        <f>1.47*36/30</f>
        <v>1.764</v>
      </c>
      <c r="I19" s="11">
        <f>0.3*36/30</f>
        <v>0.36</v>
      </c>
      <c r="J19" s="12">
        <f>13.44*36/30</f>
        <v>16.128</v>
      </c>
    </row>
    <row r="20" spans="1:10" ht="16.2" thickBot="1" x14ac:dyDescent="0.35">
      <c r="A20" s="31"/>
      <c r="B20" s="32"/>
      <c r="C20" s="33"/>
      <c r="D20" s="33"/>
      <c r="E20" s="43"/>
      <c r="F20" s="72">
        <f>SUM(F13:F19)</f>
        <v>72.900153333333336</v>
      </c>
      <c r="G20" s="34">
        <f>SUM(G13:G19)</f>
        <v>827.48</v>
      </c>
      <c r="H20" s="34">
        <f>SUM(H13:H19)</f>
        <v>27.258999999999997</v>
      </c>
      <c r="I20" s="34">
        <f>SUM(I13:I19)</f>
        <v>33.07</v>
      </c>
      <c r="J20" s="35">
        <f>SUM(J13:J19)</f>
        <v>106.20099999999999</v>
      </c>
    </row>
    <row r="21" spans="1:10" ht="16.2" thickBot="1" x14ac:dyDescent="0.35">
      <c r="B21" s="2" t="s">
        <v>29</v>
      </c>
      <c r="E21" s="42"/>
      <c r="F21" s="42"/>
    </row>
    <row r="22" spans="1:10" ht="29.4" thickBot="1" x14ac:dyDescent="0.35">
      <c r="A22" s="18" t="s">
        <v>2</v>
      </c>
      <c r="B22" s="19" t="s">
        <v>3</v>
      </c>
      <c r="C22" s="19" t="s">
        <v>20</v>
      </c>
      <c r="D22" s="19" t="s">
        <v>4</v>
      </c>
      <c r="E22" s="36" t="s">
        <v>21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28.8" x14ac:dyDescent="0.3">
      <c r="A23" s="3" t="s">
        <v>10</v>
      </c>
      <c r="B23" s="4" t="s">
        <v>11</v>
      </c>
      <c r="C23" s="44">
        <v>72</v>
      </c>
      <c r="D23" s="45" t="s">
        <v>42</v>
      </c>
      <c r="E23" s="37" t="s">
        <v>53</v>
      </c>
      <c r="F23" s="68">
        <f>5.05*170/150+40.5*40/50</f>
        <v>38.123333333333335</v>
      </c>
      <c r="G23" s="83">
        <v>294</v>
      </c>
      <c r="H23" s="83">
        <v>14.68</v>
      </c>
      <c r="I23" s="83">
        <v>16.579999999999998</v>
      </c>
      <c r="J23" s="84">
        <v>22.8</v>
      </c>
    </row>
    <row r="24" spans="1:10" ht="15.6" x14ac:dyDescent="0.3">
      <c r="A24" s="7"/>
      <c r="B24" s="81" t="s">
        <v>12</v>
      </c>
      <c r="C24" s="73">
        <v>20</v>
      </c>
      <c r="D24" s="74" t="s">
        <v>43</v>
      </c>
      <c r="E24" s="75" t="s">
        <v>33</v>
      </c>
      <c r="F24" s="76">
        <v>4.24</v>
      </c>
      <c r="G24" s="9">
        <v>70</v>
      </c>
      <c r="H24" s="9">
        <v>1.4</v>
      </c>
      <c r="I24" s="9">
        <v>1.6</v>
      </c>
      <c r="J24" s="10">
        <v>12.36</v>
      </c>
    </row>
    <row r="25" spans="1:10" ht="15.6" x14ac:dyDescent="0.3">
      <c r="A25" s="7"/>
      <c r="B25" s="29" t="s">
        <v>18</v>
      </c>
      <c r="C25" s="73" t="s">
        <v>22</v>
      </c>
      <c r="D25" s="74" t="s">
        <v>44</v>
      </c>
      <c r="E25" s="75" t="s">
        <v>35</v>
      </c>
      <c r="F25" s="76">
        <v>9.39</v>
      </c>
      <c r="G25" s="9">
        <f>286.14*40/60</f>
        <v>190.75999999999996</v>
      </c>
      <c r="H25" s="9">
        <f>4.83*40/60</f>
        <v>3.2199999999999998</v>
      </c>
      <c r="I25" s="9">
        <f>6.3*40/60</f>
        <v>4.2</v>
      </c>
      <c r="J25" s="10">
        <f>52.53*40/60</f>
        <v>35.019999999999996</v>
      </c>
    </row>
    <row r="26" spans="1:10" ht="15.6" x14ac:dyDescent="0.3">
      <c r="A26" s="7"/>
      <c r="B26" s="8"/>
      <c r="C26" s="46" t="s">
        <v>22</v>
      </c>
      <c r="D26" s="47" t="s">
        <v>23</v>
      </c>
      <c r="E26" s="38">
        <v>46</v>
      </c>
      <c r="F26" s="65">
        <f>45.17*0.045</f>
        <v>2.0326499999999998</v>
      </c>
      <c r="G26" s="9">
        <v>60</v>
      </c>
      <c r="H26" s="9">
        <v>1.47</v>
      </c>
      <c r="I26" s="9">
        <v>0.3</v>
      </c>
      <c r="J26" s="10">
        <v>13.44</v>
      </c>
    </row>
    <row r="27" spans="1:10" ht="15.6" x14ac:dyDescent="0.3">
      <c r="A27" s="7"/>
      <c r="B27" s="54"/>
      <c r="C27" s="46" t="s">
        <v>22</v>
      </c>
      <c r="D27" s="47" t="s">
        <v>41</v>
      </c>
      <c r="E27" s="38">
        <v>46</v>
      </c>
      <c r="F27" s="65">
        <v>2.71</v>
      </c>
      <c r="G27" s="9">
        <v>62.4</v>
      </c>
      <c r="H27" s="9">
        <v>2.4</v>
      </c>
      <c r="I27" s="9">
        <v>0.05</v>
      </c>
      <c r="J27" s="10">
        <v>12.03</v>
      </c>
    </row>
    <row r="28" spans="1:10" ht="16.2" thickBot="1" x14ac:dyDescent="0.35">
      <c r="A28" s="59"/>
      <c r="B28" s="60"/>
      <c r="C28" s="61"/>
      <c r="D28" s="62"/>
      <c r="E28" s="63"/>
      <c r="F28" s="69">
        <f>SUM(F23:F27)</f>
        <v>56.495983333333335</v>
      </c>
      <c r="G28" s="64">
        <f>SUM(G23:G27)</f>
        <v>677.16</v>
      </c>
      <c r="H28" s="64">
        <f>SUM(H23:H27)</f>
        <v>23.169999999999995</v>
      </c>
      <c r="I28" s="64">
        <f>SUM(I23:I27)</f>
        <v>22.73</v>
      </c>
      <c r="J28" s="82">
        <f>SUM(J23:J27)</f>
        <v>95.649999999999991</v>
      </c>
    </row>
    <row r="29" spans="1:10" ht="15.6" x14ac:dyDescent="0.3">
      <c r="A29" s="3" t="s">
        <v>24</v>
      </c>
      <c r="B29" s="4"/>
      <c r="C29" s="48">
        <v>8</v>
      </c>
      <c r="D29" s="49" t="s">
        <v>45</v>
      </c>
      <c r="E29" s="39">
        <v>200</v>
      </c>
      <c r="F29" s="68">
        <v>13.3</v>
      </c>
      <c r="G29" s="5">
        <v>106</v>
      </c>
      <c r="H29" s="5">
        <v>5.8</v>
      </c>
      <c r="I29" s="5">
        <v>5</v>
      </c>
      <c r="J29" s="6">
        <v>8</v>
      </c>
    </row>
    <row r="30" spans="1:10" ht="15.6" x14ac:dyDescent="0.3">
      <c r="A30" s="7"/>
      <c r="B30" s="77"/>
      <c r="C30" s="78">
        <v>67</v>
      </c>
      <c r="D30" s="79" t="s">
        <v>46</v>
      </c>
      <c r="E30" s="80">
        <v>155</v>
      </c>
      <c r="F30" s="76">
        <v>29.06</v>
      </c>
      <c r="G30" s="13">
        <f>565.01*155/150</f>
        <v>583.84366666666665</v>
      </c>
      <c r="H30" s="13">
        <f>10.5*155/150</f>
        <v>10.85</v>
      </c>
      <c r="I30" s="13">
        <f>20.75*155/150</f>
        <v>21.441666666666666</v>
      </c>
      <c r="J30" s="30">
        <f>83.75*155/150</f>
        <v>86.541666666666671</v>
      </c>
    </row>
    <row r="31" spans="1:10" ht="16.2" thickBot="1" x14ac:dyDescent="0.35">
      <c r="A31" s="55"/>
      <c r="B31" s="32"/>
      <c r="C31" s="56"/>
      <c r="D31" s="57"/>
      <c r="E31" s="58"/>
      <c r="F31" s="70">
        <v>42.36</v>
      </c>
      <c r="G31" s="66">
        <f>SUM(G29:G30)</f>
        <v>689.84366666666665</v>
      </c>
      <c r="H31" s="66">
        <f>SUM(H29:H30)</f>
        <v>16.649999999999999</v>
      </c>
      <c r="I31" s="66">
        <f>SUM(I29:I30)</f>
        <v>26.441666666666666</v>
      </c>
      <c r="J31" s="67">
        <f>SUM(J29:J30)</f>
        <v>94.541666666666671</v>
      </c>
    </row>
    <row r="32" spans="1:10" ht="15.6" x14ac:dyDescent="0.3">
      <c r="A32" s="3" t="s">
        <v>13</v>
      </c>
      <c r="B32" s="4" t="s">
        <v>14</v>
      </c>
      <c r="C32" s="48">
        <v>54</v>
      </c>
      <c r="D32" s="49" t="s">
        <v>47</v>
      </c>
      <c r="E32" s="37" t="s">
        <v>37</v>
      </c>
      <c r="F32" s="68">
        <f>14.92*90/100</f>
        <v>13.427999999999999</v>
      </c>
      <c r="G32" s="5">
        <f>125*80/100</f>
        <v>100</v>
      </c>
      <c r="H32" s="5">
        <f>0.83*80/100</f>
        <v>0.66399999999999992</v>
      </c>
      <c r="I32" s="5">
        <f>8.5*80/100</f>
        <v>6.8</v>
      </c>
      <c r="J32" s="6">
        <v>0</v>
      </c>
    </row>
    <row r="33" spans="1:13" ht="28.8" x14ac:dyDescent="0.3">
      <c r="A33" s="7"/>
      <c r="B33" s="8" t="s">
        <v>15</v>
      </c>
      <c r="C33" s="50">
        <v>33</v>
      </c>
      <c r="D33" s="51" t="s">
        <v>48</v>
      </c>
      <c r="E33" s="40" t="s">
        <v>51</v>
      </c>
      <c r="F33" s="65">
        <v>5.96</v>
      </c>
      <c r="G33" s="9">
        <v>108.75</v>
      </c>
      <c r="H33" s="9">
        <v>1.72</v>
      </c>
      <c r="I33" s="9">
        <v>6.18</v>
      </c>
      <c r="J33" s="10">
        <v>11.66</v>
      </c>
    </row>
    <row r="34" spans="1:13" ht="15.6" x14ac:dyDescent="0.3">
      <c r="A34" s="7"/>
      <c r="B34" s="8" t="s">
        <v>16</v>
      </c>
      <c r="C34" s="50">
        <v>58</v>
      </c>
      <c r="D34" s="51" t="s">
        <v>55</v>
      </c>
      <c r="E34" s="40" t="s">
        <v>56</v>
      </c>
      <c r="F34" s="65">
        <f>42.83*100/100</f>
        <v>42.83</v>
      </c>
      <c r="G34" s="9">
        <v>286</v>
      </c>
      <c r="H34" s="9">
        <v>17.8</v>
      </c>
      <c r="I34" s="9">
        <v>17.5</v>
      </c>
      <c r="J34" s="10">
        <v>14.3</v>
      </c>
    </row>
    <row r="35" spans="1:13" ht="15.6" x14ac:dyDescent="0.3">
      <c r="A35" s="7"/>
      <c r="B35" s="8" t="s">
        <v>38</v>
      </c>
      <c r="C35" s="50">
        <v>7</v>
      </c>
      <c r="D35" s="51" t="s">
        <v>49</v>
      </c>
      <c r="E35" s="40" t="s">
        <v>40</v>
      </c>
      <c r="F35" s="65">
        <v>11.14</v>
      </c>
      <c r="G35" s="9">
        <v>159.12</v>
      </c>
      <c r="H35" s="9">
        <v>3.74</v>
      </c>
      <c r="I35" s="9">
        <v>6.12</v>
      </c>
      <c r="J35" s="10">
        <v>22.28</v>
      </c>
      <c r="M35" s="1" t="s">
        <v>34</v>
      </c>
    </row>
    <row r="36" spans="1:13" ht="15.6" x14ac:dyDescent="0.3">
      <c r="A36" s="7"/>
      <c r="B36" s="8" t="s">
        <v>25</v>
      </c>
      <c r="C36" s="50">
        <v>35</v>
      </c>
      <c r="D36" s="51" t="s">
        <v>50</v>
      </c>
      <c r="E36" s="40">
        <v>200</v>
      </c>
      <c r="F36" s="65">
        <v>7.41</v>
      </c>
      <c r="G36" s="9">
        <v>97</v>
      </c>
      <c r="H36" s="9">
        <v>0.68</v>
      </c>
      <c r="I36" s="9">
        <v>0.28000000000000003</v>
      </c>
      <c r="J36" s="10">
        <v>19.64</v>
      </c>
    </row>
    <row r="37" spans="1:13" ht="15.6" x14ac:dyDescent="0.3">
      <c r="A37" s="7"/>
      <c r="B37" s="8" t="s">
        <v>19</v>
      </c>
      <c r="C37" s="50" t="s">
        <v>22</v>
      </c>
      <c r="D37" s="51" t="s">
        <v>26</v>
      </c>
      <c r="E37" s="40" t="s">
        <v>60</v>
      </c>
      <c r="F37" s="65">
        <v>2.2400000000000002</v>
      </c>
      <c r="G37" s="9">
        <f>62.4*43/30</f>
        <v>89.44</v>
      </c>
      <c r="H37" s="9">
        <f>2.4*43/30</f>
        <v>3.44</v>
      </c>
      <c r="I37" s="9">
        <f>0.45*43/30</f>
        <v>0.64500000000000002</v>
      </c>
      <c r="J37" s="10">
        <f>11.37*43/30</f>
        <v>16.297000000000001</v>
      </c>
    </row>
    <row r="38" spans="1:13" ht="15.6" x14ac:dyDescent="0.3">
      <c r="A38" s="7"/>
      <c r="B38" s="14" t="s">
        <v>17</v>
      </c>
      <c r="C38" s="52" t="s">
        <v>22</v>
      </c>
      <c r="D38" s="53" t="s">
        <v>23</v>
      </c>
      <c r="E38" s="41" t="s">
        <v>61</v>
      </c>
      <c r="F38" s="71">
        <f>45.14*0.038</f>
        <v>1.71532</v>
      </c>
      <c r="G38" s="11">
        <f>60*41/30</f>
        <v>82</v>
      </c>
      <c r="H38" s="11">
        <f>1.47*41/30</f>
        <v>2.0089999999999999</v>
      </c>
      <c r="I38" s="11">
        <f>0.3*41/30</f>
        <v>0.41</v>
      </c>
      <c r="J38" s="12">
        <f>13.44*41/30</f>
        <v>18.367999999999999</v>
      </c>
    </row>
    <row r="39" spans="1:13" ht="16.2" thickBot="1" x14ac:dyDescent="0.35">
      <c r="A39" s="31"/>
      <c r="B39" s="32"/>
      <c r="C39" s="33"/>
      <c r="D39" s="33"/>
      <c r="E39" s="43"/>
      <c r="F39" s="72">
        <f>SUM(F32:F38)</f>
        <v>84.723320000000001</v>
      </c>
      <c r="G39" s="34">
        <f>SUM(G32:G38)</f>
        <v>922.31</v>
      </c>
      <c r="H39" s="34">
        <f>SUM(H32:H38)</f>
        <v>30.053000000000001</v>
      </c>
      <c r="I39" s="34">
        <f>SUM(I32:I38)</f>
        <v>37.935000000000002</v>
      </c>
      <c r="J39" s="35">
        <f>SUM(J32:J38)</f>
        <v>102.54499999999999</v>
      </c>
    </row>
    <row r="40" spans="1:13" x14ac:dyDescent="0.3">
      <c r="A40" s="23" t="s">
        <v>31</v>
      </c>
    </row>
    <row r="41" spans="1:13" x14ac:dyDescent="0.3">
      <c r="A41" s="23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1" sqref="B1:D1"/>
    </sheetView>
  </sheetViews>
  <sheetFormatPr defaultColWidth="8.88671875" defaultRowHeight="14.4" x14ac:dyDescent="0.3"/>
  <cols>
    <col min="1" max="1" width="11.6640625" style="24" bestFit="1" customWidth="1"/>
    <col min="2" max="2" width="11.5546875" style="24" customWidth="1"/>
    <col min="3" max="3" width="7.109375" style="24" bestFit="1" customWidth="1"/>
    <col min="4" max="4" width="24.6640625" style="24" bestFit="1" customWidth="1"/>
    <col min="5" max="5" width="9.33203125" style="25" customWidth="1"/>
    <col min="6" max="6" width="6.55468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 x14ac:dyDescent="0.3">
      <c r="A1" s="24" t="s">
        <v>0</v>
      </c>
      <c r="B1" s="121" t="s">
        <v>65</v>
      </c>
      <c r="C1" s="122"/>
      <c r="D1" s="123"/>
      <c r="E1" s="25" t="s">
        <v>28</v>
      </c>
      <c r="F1" s="26"/>
      <c r="H1" s="24" t="s">
        <v>1</v>
      </c>
      <c r="I1" s="27" t="s">
        <v>30</v>
      </c>
    </row>
    <row r="2" spans="1:10" ht="15" thickBot="1" x14ac:dyDescent="0.35">
      <c r="A2" s="98"/>
      <c r="B2" s="99" t="s">
        <v>32</v>
      </c>
      <c r="C2" s="98"/>
      <c r="D2" s="98"/>
      <c r="E2" s="100"/>
      <c r="F2" s="100"/>
      <c r="G2" s="98"/>
      <c r="H2" s="98"/>
      <c r="I2" s="98"/>
      <c r="J2" s="98"/>
    </row>
    <row r="3" spans="1:10" x14ac:dyDescent="0.3">
      <c r="A3" s="81" t="s">
        <v>2</v>
      </c>
      <c r="B3" s="81" t="s">
        <v>3</v>
      </c>
      <c r="C3" s="81" t="s">
        <v>20</v>
      </c>
      <c r="D3" s="81" t="s">
        <v>4</v>
      </c>
      <c r="E3" s="81" t="s">
        <v>21</v>
      </c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</row>
    <row r="4" spans="1:10" s="28" customFormat="1" ht="15.6" x14ac:dyDescent="0.3">
      <c r="A4" s="124" t="s">
        <v>10</v>
      </c>
      <c r="B4" s="86" t="s">
        <v>11</v>
      </c>
      <c r="C4" s="91">
        <v>72</v>
      </c>
      <c r="D4" s="87" t="s">
        <v>42</v>
      </c>
      <c r="E4" s="107" t="s">
        <v>54</v>
      </c>
      <c r="F4" s="116">
        <f>7.06*140/150+56.69*40/50</f>
        <v>51.941333333333333</v>
      </c>
      <c r="G4" s="103">
        <v>294</v>
      </c>
      <c r="H4" s="103">
        <v>14.86</v>
      </c>
      <c r="I4" s="103">
        <v>16.579999999999998</v>
      </c>
      <c r="J4" s="103">
        <v>22.8</v>
      </c>
    </row>
    <row r="5" spans="1:10" s="28" customFormat="1" ht="15.6" x14ac:dyDescent="0.3">
      <c r="A5" s="125"/>
      <c r="B5" s="86" t="s">
        <v>12</v>
      </c>
      <c r="C5" s="91">
        <v>20</v>
      </c>
      <c r="D5" s="87" t="s">
        <v>43</v>
      </c>
      <c r="E5" s="107">
        <v>200</v>
      </c>
      <c r="F5" s="89">
        <v>5.93</v>
      </c>
      <c r="G5" s="103">
        <v>1.4</v>
      </c>
      <c r="H5" s="103">
        <v>1.6</v>
      </c>
      <c r="I5" s="103">
        <v>12.36</v>
      </c>
      <c r="J5" s="103">
        <v>70</v>
      </c>
    </row>
    <row r="6" spans="1:10" ht="15.6" x14ac:dyDescent="0.3">
      <c r="A6" s="85"/>
      <c r="B6" s="85" t="s">
        <v>62</v>
      </c>
      <c r="C6" s="92" t="s">
        <v>22</v>
      </c>
      <c r="D6" s="88" t="s">
        <v>44</v>
      </c>
      <c r="E6" s="108">
        <v>20</v>
      </c>
      <c r="F6" s="101">
        <v>6.57</v>
      </c>
      <c r="G6" s="104">
        <f>190.76*20/60</f>
        <v>63.586666666666666</v>
      </c>
      <c r="H6" s="104">
        <f>3.22*20/60</f>
        <v>1.0733333333333335</v>
      </c>
      <c r="I6" s="104">
        <f>4.2*20/60</f>
        <v>1.4</v>
      </c>
      <c r="J6" s="104">
        <f>35.02*20/60</f>
        <v>11.673333333333336</v>
      </c>
    </row>
    <row r="7" spans="1:10" ht="15.6" x14ac:dyDescent="0.3">
      <c r="A7" s="85"/>
      <c r="B7" s="85" t="s">
        <v>18</v>
      </c>
      <c r="C7" s="92" t="s">
        <v>22</v>
      </c>
      <c r="D7" s="88" t="s">
        <v>23</v>
      </c>
      <c r="E7" s="108">
        <v>29</v>
      </c>
      <c r="F7" s="101">
        <v>1.52</v>
      </c>
      <c r="G7" s="104">
        <f>40*21/20</f>
        <v>42</v>
      </c>
      <c r="H7" s="104">
        <f>0.98*21/20</f>
        <v>1.0289999999999999</v>
      </c>
      <c r="I7" s="104">
        <f>0.2*21/20</f>
        <v>0.21000000000000002</v>
      </c>
      <c r="J7" s="104">
        <f>8.95*21/20</f>
        <v>9.3974999999999991</v>
      </c>
    </row>
    <row r="8" spans="1:10" ht="15.6" x14ac:dyDescent="0.3">
      <c r="A8" s="85"/>
      <c r="B8" s="85"/>
      <c r="C8" s="92" t="s">
        <v>22</v>
      </c>
      <c r="D8" s="88" t="s">
        <v>41</v>
      </c>
      <c r="E8" s="108">
        <v>29</v>
      </c>
      <c r="F8" s="101">
        <f>70.2*0.029</f>
        <v>2.0358000000000001</v>
      </c>
      <c r="G8" s="104">
        <f>41.6*22/20</f>
        <v>45.760000000000005</v>
      </c>
      <c r="H8" s="104">
        <f>1.6*22/20</f>
        <v>1.7600000000000002</v>
      </c>
      <c r="I8" s="104">
        <f>0.03*22/20</f>
        <v>3.2999999999999995E-2</v>
      </c>
      <c r="J8" s="104">
        <f>8.02*22/20</f>
        <v>8.8219999999999992</v>
      </c>
    </row>
    <row r="9" spans="1:10" ht="16.2" thickBot="1" x14ac:dyDescent="0.35">
      <c r="A9" s="95"/>
      <c r="B9" s="95"/>
      <c r="C9" s="96"/>
      <c r="D9" s="97"/>
      <c r="E9" s="109"/>
      <c r="F9" s="102">
        <f>SUM(F4:F8)</f>
        <v>67.997133333333323</v>
      </c>
      <c r="G9" s="105">
        <f>SUM(G4:G8)</f>
        <v>446.74666666666661</v>
      </c>
      <c r="H9" s="105">
        <f>SUM(H4:H8)</f>
        <v>20.322333333333336</v>
      </c>
      <c r="I9" s="105">
        <f>SUM(I4:I8)</f>
        <v>30.582999999999998</v>
      </c>
      <c r="J9" s="105">
        <f>SUM(J4:J8)</f>
        <v>122.69283333333333</v>
      </c>
    </row>
    <row r="10" spans="1:10" ht="15.6" customHeight="1" x14ac:dyDescent="0.3">
      <c r="A10" s="81"/>
      <c r="B10" s="81" t="s">
        <v>14</v>
      </c>
      <c r="C10" s="93">
        <v>1</v>
      </c>
      <c r="D10" s="94" t="s">
        <v>57</v>
      </c>
      <c r="E10" s="110">
        <v>30</v>
      </c>
      <c r="F10" s="114">
        <f>24.19*50/100</f>
        <v>12.095000000000001</v>
      </c>
      <c r="G10" s="106">
        <v>43.75</v>
      </c>
      <c r="H10" s="106">
        <v>0.28999999999999998</v>
      </c>
      <c r="I10" s="106">
        <v>2.98</v>
      </c>
      <c r="J10" s="106">
        <v>9.6</v>
      </c>
    </row>
    <row r="11" spans="1:10" ht="15.6" x14ac:dyDescent="0.3">
      <c r="A11" s="85"/>
      <c r="B11" s="85" t="s">
        <v>11</v>
      </c>
      <c r="C11" s="92">
        <v>72</v>
      </c>
      <c r="D11" s="88" t="s">
        <v>42</v>
      </c>
      <c r="E11" s="108" t="s">
        <v>54</v>
      </c>
      <c r="F11" s="101">
        <f>7.06*140/150+56.69*40/50</f>
        <v>51.941333333333333</v>
      </c>
      <c r="G11" s="104">
        <v>108.75</v>
      </c>
      <c r="H11" s="104">
        <v>1.72</v>
      </c>
      <c r="I11" s="104">
        <v>6.18</v>
      </c>
      <c r="J11" s="104">
        <v>11.66</v>
      </c>
    </row>
    <row r="12" spans="1:10" ht="20.399999999999999" customHeight="1" x14ac:dyDescent="0.3">
      <c r="A12" s="85"/>
      <c r="B12" s="85" t="s">
        <v>25</v>
      </c>
      <c r="C12" s="92">
        <v>35</v>
      </c>
      <c r="D12" s="88" t="s">
        <v>50</v>
      </c>
      <c r="E12" s="108">
        <v>200</v>
      </c>
      <c r="F12" s="90">
        <v>10.37</v>
      </c>
      <c r="G12" s="104">
        <v>97</v>
      </c>
      <c r="H12" s="104">
        <v>0.68</v>
      </c>
      <c r="I12" s="104">
        <v>0.28000000000000003</v>
      </c>
      <c r="J12" s="104">
        <v>19.64</v>
      </c>
    </row>
    <row r="13" spans="1:10" ht="15.6" x14ac:dyDescent="0.3">
      <c r="A13" s="85"/>
      <c r="B13" s="85" t="s">
        <v>19</v>
      </c>
      <c r="C13" s="92" t="s">
        <v>22</v>
      </c>
      <c r="D13" s="88" t="s">
        <v>26</v>
      </c>
      <c r="E13" s="108">
        <v>29</v>
      </c>
      <c r="F13" s="101">
        <f>70.2*0.029</f>
        <v>2.0358000000000001</v>
      </c>
      <c r="G13" s="104">
        <f>41.6</f>
        <v>41.6</v>
      </c>
      <c r="H13" s="104">
        <f>1.6*22/20</f>
        <v>1.7600000000000002</v>
      </c>
      <c r="I13" s="104">
        <f>0.03</f>
        <v>0.03</v>
      </c>
      <c r="J13" s="104">
        <f>8.02</f>
        <v>8.02</v>
      </c>
    </row>
    <row r="14" spans="1:10" ht="15.6" x14ac:dyDescent="0.3">
      <c r="A14" s="85"/>
      <c r="B14" s="85" t="s">
        <v>17</v>
      </c>
      <c r="C14" s="92" t="s">
        <v>22</v>
      </c>
      <c r="D14" s="88" t="s">
        <v>23</v>
      </c>
      <c r="E14" s="108">
        <v>29</v>
      </c>
      <c r="F14" s="90">
        <v>1.56</v>
      </c>
      <c r="G14" s="104">
        <f>40</f>
        <v>40</v>
      </c>
      <c r="H14" s="104">
        <f>0.98</f>
        <v>0.98</v>
      </c>
      <c r="I14" s="104">
        <f>0.2</f>
        <v>0.2</v>
      </c>
      <c r="J14" s="104">
        <f>8.95</f>
        <v>8.9499999999999993</v>
      </c>
    </row>
    <row r="15" spans="1:10" ht="16.2" thickBot="1" x14ac:dyDescent="0.35">
      <c r="A15" s="95"/>
      <c r="B15" s="95"/>
      <c r="C15" s="96"/>
      <c r="D15" s="97"/>
      <c r="E15" s="109"/>
      <c r="F15" s="102">
        <f>SUM(F10:F14)</f>
        <v>78.002133333333333</v>
      </c>
      <c r="G15" s="105">
        <f>SUM(G10:G14)</f>
        <v>331.1</v>
      </c>
      <c r="H15" s="105">
        <f>SUM(H10:H14)</f>
        <v>5.43</v>
      </c>
      <c r="I15" s="105">
        <f>SUM(I10:I14)</f>
        <v>9.6699999999999982</v>
      </c>
      <c r="J15" s="105">
        <f>SUM(J10:J14)</f>
        <v>57.870000000000005</v>
      </c>
    </row>
    <row r="16" spans="1:10" ht="15.6" x14ac:dyDescent="0.3">
      <c r="A16" s="85"/>
      <c r="B16" s="81" t="s">
        <v>14</v>
      </c>
      <c r="C16" s="93">
        <v>1</v>
      </c>
      <c r="D16" s="94" t="s">
        <v>57</v>
      </c>
      <c r="E16" s="110">
        <v>35</v>
      </c>
      <c r="F16" s="115">
        <f>24.19*35/100</f>
        <v>8.4665000000000017</v>
      </c>
      <c r="G16" s="106">
        <v>43.75</v>
      </c>
      <c r="H16" s="106">
        <v>0.28999999999999998</v>
      </c>
      <c r="I16" s="106">
        <v>2.98</v>
      </c>
      <c r="J16" s="106">
        <v>9.6</v>
      </c>
    </row>
    <row r="17" spans="1:10" ht="43.2" x14ac:dyDescent="0.3">
      <c r="A17" s="81"/>
      <c r="B17" s="81" t="s">
        <v>58</v>
      </c>
      <c r="C17" s="93">
        <v>33</v>
      </c>
      <c r="D17" s="51" t="s">
        <v>64</v>
      </c>
      <c r="E17" s="40" t="s">
        <v>63</v>
      </c>
      <c r="F17" s="111">
        <f>6.13*235/250+2.22+6.49</f>
        <v>14.472200000000001</v>
      </c>
      <c r="G17" s="9">
        <v>108.75</v>
      </c>
      <c r="H17" s="9">
        <v>1.72</v>
      </c>
      <c r="I17" s="9">
        <v>6.18</v>
      </c>
      <c r="J17" s="10">
        <v>11.66</v>
      </c>
    </row>
    <row r="18" spans="1:10" ht="15.6" x14ac:dyDescent="0.3">
      <c r="A18" s="85"/>
      <c r="B18" s="85" t="s">
        <v>11</v>
      </c>
      <c r="C18" s="92">
        <v>72</v>
      </c>
      <c r="D18" s="88" t="s">
        <v>42</v>
      </c>
      <c r="E18" s="108" t="s">
        <v>54</v>
      </c>
      <c r="F18" s="101">
        <f>7.06*140/150+56.69*40/50</f>
        <v>51.941333333333333</v>
      </c>
      <c r="G18" s="104">
        <v>108.75</v>
      </c>
      <c r="H18" s="104">
        <v>1.72</v>
      </c>
      <c r="I18" s="104">
        <v>6.18</v>
      </c>
      <c r="J18" s="104">
        <v>11.66</v>
      </c>
    </row>
    <row r="19" spans="1:10" ht="15.6" x14ac:dyDescent="0.3">
      <c r="A19" s="85"/>
      <c r="B19" s="85" t="s">
        <v>25</v>
      </c>
      <c r="C19" s="92">
        <v>35</v>
      </c>
      <c r="D19" s="88" t="s">
        <v>50</v>
      </c>
      <c r="E19" s="108">
        <v>200</v>
      </c>
      <c r="F19" s="112">
        <v>10.37</v>
      </c>
      <c r="G19" s="104">
        <v>97</v>
      </c>
      <c r="H19" s="104">
        <f>0.68</f>
        <v>0.68</v>
      </c>
      <c r="I19" s="104">
        <v>0.28000000000000003</v>
      </c>
      <c r="J19" s="104">
        <v>19.64</v>
      </c>
    </row>
    <row r="20" spans="1:10" ht="15.6" x14ac:dyDescent="0.3">
      <c r="A20" s="85"/>
      <c r="B20" s="85" t="s">
        <v>19</v>
      </c>
      <c r="C20" s="92" t="s">
        <v>22</v>
      </c>
      <c r="D20" s="88" t="s">
        <v>26</v>
      </c>
      <c r="E20" s="108">
        <v>39</v>
      </c>
      <c r="F20" s="113">
        <v>2.69</v>
      </c>
      <c r="G20" s="104">
        <f>41.6*36/20</f>
        <v>74.88000000000001</v>
      </c>
      <c r="H20" s="104">
        <f>1.6*36/20</f>
        <v>2.88</v>
      </c>
      <c r="I20" s="104">
        <f>0.03*36/20</f>
        <v>5.4000000000000006E-2</v>
      </c>
      <c r="J20" s="104">
        <f>8.02*36/20</f>
        <v>14.435999999999998</v>
      </c>
    </row>
    <row r="21" spans="1:10" ht="15.6" x14ac:dyDescent="0.3">
      <c r="A21" s="85"/>
      <c r="B21" s="85" t="s">
        <v>17</v>
      </c>
      <c r="C21" s="92" t="s">
        <v>22</v>
      </c>
      <c r="D21" s="88" t="s">
        <v>23</v>
      </c>
      <c r="E21" s="108">
        <v>38</v>
      </c>
      <c r="F21" s="113">
        <f>54.17*0.038</f>
        <v>2.0584600000000002</v>
      </c>
      <c r="G21" s="104">
        <f>40*35/20</f>
        <v>70</v>
      </c>
      <c r="H21" s="104">
        <f>0.98*35/20</f>
        <v>1.7149999999999999</v>
      </c>
      <c r="I21" s="104">
        <f>0.2*35/20</f>
        <v>0.35</v>
      </c>
      <c r="J21" s="104">
        <f>8.95*35/20</f>
        <v>15.6625</v>
      </c>
    </row>
    <row r="22" spans="1:10" ht="15.6" x14ac:dyDescent="0.3">
      <c r="A22" s="85"/>
      <c r="B22" s="85"/>
      <c r="C22" s="85"/>
      <c r="D22" s="85"/>
      <c r="E22" s="117"/>
      <c r="F22" s="113">
        <f>SUM(F16:F21)</f>
        <v>89.998493333333329</v>
      </c>
      <c r="G22" s="104">
        <f>SUM(G17:G21)</f>
        <v>459.38</v>
      </c>
      <c r="H22" s="104">
        <f>SUM(H17:H21)</f>
        <v>8.7149999999999999</v>
      </c>
      <c r="I22" s="104">
        <f>SUM(I17:I21)</f>
        <v>13.043999999999999</v>
      </c>
      <c r="J22" s="104">
        <f>SUM(J17:J21)</f>
        <v>73.058499999999995</v>
      </c>
    </row>
    <row r="24" spans="1:10" s="1" customFormat="1" ht="15.6" customHeight="1" x14ac:dyDescent="0.3">
      <c r="A24" s="24"/>
      <c r="B24" s="24"/>
      <c r="C24" s="24"/>
      <c r="D24" s="24"/>
      <c r="E24" s="25"/>
      <c r="F24" s="25"/>
      <c r="G24" s="24"/>
      <c r="H24" s="24"/>
      <c r="I24" s="24"/>
      <c r="J24" s="24"/>
    </row>
    <row r="25" spans="1:10" s="1" customFormat="1" x14ac:dyDescent="0.3">
      <c r="A25" s="24"/>
      <c r="B25" s="24"/>
      <c r="C25" s="24"/>
      <c r="D25" s="24"/>
      <c r="E25" s="25"/>
      <c r="F25" s="25"/>
      <c r="G25" s="24"/>
      <c r="H25" s="24"/>
      <c r="I25" s="24"/>
      <c r="J25" s="24"/>
    </row>
    <row r="26" spans="1:10" s="1" customFormat="1" x14ac:dyDescent="0.3">
      <c r="A26" s="24"/>
      <c r="B26" s="24"/>
      <c r="C26" s="24"/>
      <c r="D26" s="24"/>
      <c r="E26" s="25"/>
      <c r="F26" s="25"/>
      <c r="G26" s="24"/>
      <c r="H26" s="24"/>
      <c r="I26" s="24"/>
      <c r="J26" s="24"/>
    </row>
    <row r="27" spans="1:10" s="1" customFormat="1" x14ac:dyDescent="0.3">
      <c r="A27" s="24"/>
      <c r="B27" s="24"/>
      <c r="C27" s="24"/>
      <c r="D27" s="24"/>
      <c r="E27" s="25"/>
      <c r="F27" s="25"/>
      <c r="G27" s="24"/>
      <c r="H27" s="24"/>
      <c r="I27" s="24"/>
      <c r="J27" s="24"/>
    </row>
    <row r="28" spans="1:10" s="1" customFormat="1" x14ac:dyDescent="0.3">
      <c r="A28" s="24"/>
      <c r="B28" s="24"/>
      <c r="C28" s="24"/>
      <c r="D28" s="24"/>
      <c r="E28" s="25"/>
      <c r="F28" s="25"/>
      <c r="G28" s="24"/>
      <c r="H28" s="24"/>
      <c r="I28" s="24"/>
      <c r="J28" s="24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2021-09-27T08:24:05Z</dcterms:modified>
</cp:coreProperties>
</file>